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churchgatepartners.sharepoint.com/sites/cgp-shared-folder/Clients International/Tabreed/Quarterly/1. Analyst Guide/"/>
    </mc:Choice>
  </mc:AlternateContent>
  <xr:revisionPtr revIDLastSave="47" documentId="8_{C4120BEF-2038-4871-807A-6C3DBF3B5FB6}" xr6:coauthVersionLast="47" xr6:coauthVersionMax="47" xr10:uidLastSave="{6E76FEEC-3753-45E8-92DD-A2BCE666B3FD}"/>
  <bookViews>
    <workbookView xWindow="-120" yWindow="-120" windowWidth="20730" windowHeight="11160" activeTab="1" xr2:uid="{00000000-000D-0000-FFFF-FFFF00000000}"/>
  </bookViews>
  <sheets>
    <sheet name="Guide" sheetId="1" r:id="rId1"/>
    <sheet name="Indicative.model" sheetId="4" r:id="rId2"/>
  </sheets>
  <definedNames>
    <definedName name="_xlnm.Print_Area" localSheetId="0">Guide!$A$1:$F$234</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1" l="1"/>
  <c r="E182" i="1" l="1"/>
  <c r="E71" i="1" l="1"/>
  <c r="E67" i="1"/>
  <c r="E85" i="1" l="1"/>
  <c r="E41" i="1"/>
  <c r="E206" i="1"/>
  <c r="F173" i="4"/>
  <c r="F172" i="4"/>
  <c r="F171" i="4"/>
  <c r="F170" i="4"/>
  <c r="F110" i="4" l="1"/>
  <c r="E212" i="1" l="1"/>
  <c r="E205" i="1"/>
  <c r="E202" i="1"/>
  <c r="E203" i="1" s="1"/>
  <c r="E196" i="1"/>
  <c r="E197" i="1" s="1"/>
  <c r="E159" i="1"/>
  <c r="E160" i="1"/>
  <c r="E154" i="1"/>
  <c r="E148" i="1" l="1"/>
  <c r="E150" i="1"/>
  <c r="E149" i="1"/>
  <c r="E139" i="1"/>
  <c r="F122" i="1"/>
  <c r="F126" i="1"/>
  <c r="F124" i="1"/>
  <c r="F123" i="1"/>
  <c r="E127" i="1"/>
  <c r="D47" i="1" l="1"/>
  <c r="E47" i="1" s="1"/>
  <c r="C174" i="1"/>
  <c r="F106" i="4" l="1"/>
  <c r="F93" i="4" l="1"/>
  <c r="F29" i="4"/>
  <c r="F92" i="4" l="1"/>
  <c r="F70" i="4"/>
  <c r="B3" i="4" l="1"/>
  <c r="F48" i="4"/>
  <c r="C8" i="4"/>
  <c r="F8" i="4"/>
  <c r="E8" i="4"/>
  <c r="D8" i="4"/>
  <c r="C7" i="4"/>
  <c r="C6" i="4"/>
  <c r="B4" i="4"/>
  <c r="F146" i="4" l="1"/>
  <c r="F145" i="4" s="1"/>
  <c r="F21" i="4"/>
  <c r="E108" i="1" l="1"/>
  <c r="F47" i="1"/>
  <c r="E199" i="1" l="1"/>
  <c r="F141" i="4" s="1"/>
  <c r="E35" i="1" l="1"/>
  <c r="D35" i="1"/>
  <c r="E129" i="1" l="1"/>
  <c r="D131" i="1" l="1"/>
  <c r="E131" i="1" s="1"/>
  <c r="E56" i="1"/>
  <c r="D56" i="1"/>
  <c r="C56" i="1"/>
  <c r="E51" i="1"/>
  <c r="D51" i="1"/>
  <c r="C51" i="1"/>
  <c r="C58" i="1" l="1"/>
  <c r="E58" i="1"/>
  <c r="D58" i="1"/>
  <c r="F69" i="4" l="1"/>
  <c r="F71" i="4" s="1"/>
  <c r="E76" i="1" l="1"/>
  <c r="F55" i="4" s="1"/>
  <c r="E42" i="1" l="1"/>
  <c r="F56" i="1"/>
  <c r="E39" i="1" s="1"/>
  <c r="E234" i="1" l="1"/>
  <c r="F129" i="1" l="1"/>
  <c r="F28" i="4" s="1"/>
  <c r="F164" i="4" l="1"/>
  <c r="F155" i="4"/>
  <c r="F139" i="4"/>
  <c r="F115" i="4"/>
  <c r="F79" i="4"/>
  <c r="F80" i="4" s="1"/>
  <c r="F81" i="4" s="1"/>
  <c r="F66" i="4"/>
  <c r="F82" i="4" l="1"/>
  <c r="F83" i="4" s="1"/>
  <c r="F30" i="4" s="1"/>
  <c r="E200" i="1" l="1"/>
  <c r="F142" i="4" l="1"/>
  <c r="F91" i="4" s="1"/>
  <c r="F46" i="4"/>
  <c r="F47" i="4" s="1"/>
  <c r="F59" i="4" l="1"/>
  <c r="F17" i="4" s="1"/>
  <c r="F49" i="4"/>
  <c r="F16" i="4" l="1"/>
  <c r="F18" i="4" s="1"/>
  <c r="F154" i="4" l="1"/>
  <c r="F156" i="4" s="1"/>
  <c r="F158" i="4" s="1"/>
  <c r="F101" i="4" s="1"/>
  <c r="F33" i="4"/>
  <c r="F20" i="4"/>
  <c r="F24" i="4"/>
  <c r="E153" i="1"/>
  <c r="E146" i="1" s="1"/>
  <c r="F65" i="4" s="1"/>
  <c r="F163" i="4" l="1"/>
  <c r="F165" i="4" s="1"/>
  <c r="F22" i="4"/>
  <c r="F25" i="4" s="1"/>
  <c r="D174" i="1"/>
  <c r="E165" i="1"/>
  <c r="E164" i="1"/>
  <c r="E163" i="1"/>
  <c r="E162" i="1"/>
  <c r="E161" i="1"/>
  <c r="F167" i="4" l="1"/>
  <c r="F128" i="4" s="1"/>
  <c r="F129" i="4" s="1"/>
  <c r="E174" i="1"/>
  <c r="F51" i="1" l="1"/>
  <c r="F58" i="1" s="1"/>
  <c r="E38" i="1" l="1"/>
  <c r="E63" i="1" s="1"/>
  <c r="E64" i="1" s="1"/>
  <c r="F38" i="4" l="1"/>
  <c r="F43" i="4" s="1"/>
  <c r="E37" i="1"/>
  <c r="F149" i="4"/>
  <c r="F94" i="4" s="1"/>
  <c r="E224" i="1"/>
  <c r="E225" i="1" s="1"/>
  <c r="F176" i="4" l="1"/>
  <c r="F96" i="4" s="1"/>
  <c r="F98" i="4" s="1"/>
  <c r="F67" i="4"/>
  <c r="F73" i="4" s="1"/>
  <c r="F27" i="4" s="1"/>
  <c r="F31" i="4" s="1"/>
  <c r="F122" i="4"/>
  <c r="F131" i="4" s="1"/>
  <c r="E180" i="1"/>
  <c r="E185" i="1" s="1"/>
  <c r="E191" i="1" s="1"/>
  <c r="F104" i="4" l="1"/>
  <c r="F105" i="4" s="1"/>
  <c r="F108" i="4" s="1"/>
  <c r="E141" i="1" l="1"/>
  <c r="D38" i="1"/>
  <c r="F39" i="4"/>
  <c r="F40" i="4" s="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Bijay | Churchgate Partners</author>
  </authors>
  <commentList>
    <comment ref="F122" authorId="0" shapeId="0" xr:uid="{D1644FDA-E4E7-46B5-8C93-628AECE75809}">
      <text>
        <r>
          <rPr>
            <b/>
            <sz val="9"/>
            <color indexed="81"/>
            <rFont val="Tahoma"/>
            <family val="2"/>
          </rPr>
          <t>Bijay | Churchgate Partners:</t>
        </r>
        <r>
          <rPr>
            <sz val="9"/>
            <color indexed="81"/>
            <rFont val="Tahoma"/>
            <family val="2"/>
          </rPr>
          <t xml:space="preserve">
Discontinued Operation </t>
        </r>
      </text>
    </comment>
  </commentList>
</comments>
</file>

<file path=xl/sharedStrings.xml><?xml version="1.0" encoding="utf-8"?>
<sst xmlns="http://schemas.openxmlformats.org/spreadsheetml/2006/main" count="490" uniqueCount="314">
  <si>
    <t>Operational</t>
  </si>
  <si>
    <t>RT</t>
  </si>
  <si>
    <t>Units</t>
  </si>
  <si>
    <t>Refrigeration tons</t>
  </si>
  <si>
    <t>RTh</t>
  </si>
  <si>
    <t>Refrigeration ton hours</t>
  </si>
  <si>
    <t>Equity accounted</t>
  </si>
  <si>
    <t>%</t>
  </si>
  <si>
    <t>AED / RT</t>
  </si>
  <si>
    <t>EBITDA margin</t>
  </si>
  <si>
    <t>EBITDA</t>
  </si>
  <si>
    <t>Gross profit</t>
  </si>
  <si>
    <t>Profit from operations</t>
  </si>
  <si>
    <t>Finance cost</t>
  </si>
  <si>
    <t>% on fixed</t>
  </si>
  <si>
    <t>% on floating</t>
  </si>
  <si>
    <t>Share of results of associates and joint ventures</t>
  </si>
  <si>
    <t>Qatar Cool</t>
  </si>
  <si>
    <t>NATIONAL CENTRAL COOLING COMPANY PJSC (TABREED)</t>
  </si>
  <si>
    <t>Consolidated</t>
  </si>
  <si>
    <t>AED m</t>
  </si>
  <si>
    <t>Receivable days</t>
  </si>
  <si>
    <t>days</t>
  </si>
  <si>
    <t>Payable days</t>
  </si>
  <si>
    <t>Fixed asset value</t>
  </si>
  <si>
    <t>Fixed charge %</t>
  </si>
  <si>
    <t>Depreciation &amp; fixed charges on assets</t>
  </si>
  <si>
    <t>Average asset life</t>
  </si>
  <si>
    <t>Years</t>
  </si>
  <si>
    <t>Debt maturity profile</t>
  </si>
  <si>
    <t>Total repayments</t>
  </si>
  <si>
    <t>Saudi</t>
  </si>
  <si>
    <t>Average usage per RT</t>
  </si>
  <si>
    <t>RTh/RT</t>
  </si>
  <si>
    <t>Capacity revenue</t>
  </si>
  <si>
    <t>Consumption revenue</t>
  </si>
  <si>
    <t>RTh m</t>
  </si>
  <si>
    <t>Connected capacity</t>
  </si>
  <si>
    <t>Connected capacity (kRT)</t>
  </si>
  <si>
    <t>m</t>
  </si>
  <si>
    <t>Owned (%)</t>
  </si>
  <si>
    <t>Consolidated Chilled Water Revenues</t>
  </si>
  <si>
    <t>UAE consolidated</t>
  </si>
  <si>
    <t>GCC consolidated</t>
  </si>
  <si>
    <t>Share Capital - Fully diluted basis</t>
  </si>
  <si>
    <t>Analyst presentation</t>
  </si>
  <si>
    <t>Operating profit margin</t>
  </si>
  <si>
    <t>TOTAL FINANCE COST</t>
  </si>
  <si>
    <t xml:space="preserve">Loans outstanding </t>
  </si>
  <si>
    <t>Average civils cost per plant</t>
  </si>
  <si>
    <t>AED</t>
  </si>
  <si>
    <t>AEDm</t>
  </si>
  <si>
    <t>Chiller cost</t>
  </si>
  <si>
    <t>Distribution network cost</t>
  </si>
  <si>
    <t>Construction cost for an average plant 10kRT plant with 3km network*</t>
  </si>
  <si>
    <t>Construction cost per connected RT</t>
  </si>
  <si>
    <t>Cash conversion cycle</t>
  </si>
  <si>
    <t>Qatar</t>
  </si>
  <si>
    <t xml:space="preserve">Oman </t>
  </si>
  <si>
    <t>Bahrain</t>
  </si>
  <si>
    <t>Total capacity</t>
  </si>
  <si>
    <t>Cash flow</t>
  </si>
  <si>
    <t>AED / meter</t>
  </si>
  <si>
    <t>Margins presented here are annual numbers and quarterly % vary by +/- 3% due to higher proportion of lower margin consumption revenue in summer months.</t>
  </si>
  <si>
    <t>UAE Consolidated</t>
  </si>
  <si>
    <t>UAE non-consolidated</t>
  </si>
  <si>
    <t>Consolidated capacity</t>
  </si>
  <si>
    <t>Cooling hours in a year</t>
  </si>
  <si>
    <t>Consolidated RTs</t>
  </si>
  <si>
    <t>Others</t>
  </si>
  <si>
    <t>Total</t>
  </si>
  <si>
    <t>Total reported debt</t>
  </si>
  <si>
    <t>Non-cash</t>
  </si>
  <si>
    <t>Cash</t>
  </si>
  <si>
    <t>Moves in line with capacity</t>
  </si>
  <si>
    <t>Mostly fixed</t>
  </si>
  <si>
    <t>*Based on a 10kRT plant, actual cost varies depending on length of network, size of plant and number of chillers required. Larger plants usually have lower cost per RT since Civils and Network cost do not increase directly in line with additional capacity.</t>
  </si>
  <si>
    <t>Share of results</t>
  </si>
  <si>
    <t>Equity accounted capacity</t>
  </si>
  <si>
    <t>Total revenue</t>
  </si>
  <si>
    <t>Direct cost</t>
  </si>
  <si>
    <t>Depreciation</t>
  </si>
  <si>
    <t>Net Income</t>
  </si>
  <si>
    <t>Administrative expenses</t>
  </si>
  <si>
    <t>Indicative Income Statement Model</t>
  </si>
  <si>
    <t>Value chain contribution</t>
  </si>
  <si>
    <t>TABREED INCOME STATEMENT</t>
  </si>
  <si>
    <t>CPI escalation</t>
  </si>
  <si>
    <t>Adjusted capacity revenue</t>
  </si>
  <si>
    <t>Increase in consumption due to new connections</t>
  </si>
  <si>
    <t>Standard usage x new connections</t>
  </si>
  <si>
    <t>Increase in consumption revenue to pass through of cost increases</t>
  </si>
  <si>
    <t>Adjusted consumption revenue</t>
  </si>
  <si>
    <t>Last version</t>
  </si>
  <si>
    <t>Updates in this version</t>
  </si>
  <si>
    <t>Version control</t>
  </si>
  <si>
    <t>Capacity in RT '000s</t>
  </si>
  <si>
    <t>Indicative Balance Sheet Model</t>
  </si>
  <si>
    <t>Estimated using margin guidance</t>
  </si>
  <si>
    <t>INCOME STATEMENT WORKINGS</t>
  </si>
  <si>
    <t xml:space="preserve">1 . Capacities </t>
  </si>
  <si>
    <t>2. Capacity revenue</t>
  </si>
  <si>
    <t>3. Consumption revenue</t>
  </si>
  <si>
    <t>TABREED BALANCE SHEET</t>
  </si>
  <si>
    <t>Fixed assets</t>
  </si>
  <si>
    <t>Finance lease receivables</t>
  </si>
  <si>
    <t>Investments</t>
  </si>
  <si>
    <t>Total non current assets</t>
  </si>
  <si>
    <t>Receivables</t>
  </si>
  <si>
    <t>Total current assets</t>
  </si>
  <si>
    <t>Gross chilled water revenue</t>
  </si>
  <si>
    <t>Guidance</t>
  </si>
  <si>
    <t>Finance lease receivables value</t>
  </si>
  <si>
    <t>All-in interest rate post hedging</t>
  </si>
  <si>
    <t>Cash interest for the year</t>
  </si>
  <si>
    <t>Non-cash finance cost for the year</t>
  </si>
  <si>
    <t>Total finance cost for the year</t>
  </si>
  <si>
    <t>Average balance of borrowings</t>
  </si>
  <si>
    <t>BALANCE SHEET WORKINGS</t>
  </si>
  <si>
    <t>1. PPE</t>
  </si>
  <si>
    <t>Opening</t>
  </si>
  <si>
    <t>Depreciation for the year</t>
  </si>
  <si>
    <t>Additions</t>
  </si>
  <si>
    <t>Depreciation on additions</t>
  </si>
  <si>
    <t>Closing PPE balance</t>
  </si>
  <si>
    <t>Closing Finance Lease Receivable</t>
  </si>
  <si>
    <t>Revenue for the year</t>
  </si>
  <si>
    <t>Receivable balance at year end</t>
  </si>
  <si>
    <t>Total receivables</t>
  </si>
  <si>
    <t>Capital work in progress</t>
  </si>
  <si>
    <t>Inventories</t>
  </si>
  <si>
    <t>Refer workings below</t>
  </si>
  <si>
    <t>Trace from FS</t>
  </si>
  <si>
    <t>Limited movement year over year, trace from FS</t>
  </si>
  <si>
    <t>Trace from FS, reflects plants under construction</t>
  </si>
  <si>
    <t>Total assets</t>
  </si>
  <si>
    <t>Share capital net of treasury shares</t>
  </si>
  <si>
    <t>Total equity</t>
  </si>
  <si>
    <t>Non-controlling interests</t>
  </si>
  <si>
    <t>Bank debt</t>
  </si>
  <si>
    <t>Employee's liabilities</t>
  </si>
  <si>
    <t>Refer analyst guide</t>
  </si>
  <si>
    <t>Total non-current liabilities</t>
  </si>
  <si>
    <t>Long term payables and provisions</t>
  </si>
  <si>
    <t>Short term payables and provisions</t>
  </si>
  <si>
    <t>Total current liabilities</t>
  </si>
  <si>
    <t>Total equity and liabilities</t>
  </si>
  <si>
    <t>3. Receivables &amp; Payables</t>
  </si>
  <si>
    <t>Advances, deposits and hedges (mostly fixed year over year)</t>
  </si>
  <si>
    <t>Payables balance at year end</t>
  </si>
  <si>
    <t>Capex payables</t>
  </si>
  <si>
    <t>Direct cost &amp; Admin cost for the year</t>
  </si>
  <si>
    <t>Guided by Tabreed</t>
  </si>
  <si>
    <t>Effective life of 30 years</t>
  </si>
  <si>
    <t>Total Payables</t>
  </si>
  <si>
    <t>4. Investments</t>
  </si>
  <si>
    <t>Share of results for the year</t>
  </si>
  <si>
    <t>Dividends received</t>
  </si>
  <si>
    <t>Refer income statement</t>
  </si>
  <si>
    <t>Closing investments balance</t>
  </si>
  <si>
    <t>Value Chain Businesses</t>
  </si>
  <si>
    <t>GP margin</t>
  </si>
  <si>
    <t>Revenue Estimate</t>
  </si>
  <si>
    <t>Gross Profit</t>
  </si>
  <si>
    <t>Administrative cost</t>
  </si>
  <si>
    <t>The projections and numbers included in the model below are for indicative purposes only to facilitate financial modelling and do not reflect a projection or forecast of future performance</t>
  </si>
  <si>
    <t>Contribution from Value Chain businesses is expected to stay stable over time at current level</t>
  </si>
  <si>
    <t>Retained earnings, statutory reserve and other reserve</t>
  </si>
  <si>
    <t>2. Finance Lease Receivable</t>
  </si>
  <si>
    <t>Amortization for the year</t>
  </si>
  <si>
    <t>Amortization on additions</t>
  </si>
  <si>
    <t>Deposits and other receivables (mostly fixed year over year)</t>
  </si>
  <si>
    <t>Less: finance lease amortization</t>
  </si>
  <si>
    <t>Capacity revenue increases by contractual CPI pass through every year and new connections, these increases are netted off by finance lease amortization to reach the statutory revenue number</t>
  </si>
  <si>
    <t>Amortization of arrangement fee</t>
  </si>
  <si>
    <t>Unlike depreciation on assets, finance lease amortization is recorded as a reduction in revenue rather than a cost under accounting rules</t>
  </si>
  <si>
    <t>Value chain business contains certain manufacturing, consulting and chemical storage and supply activities. 
Contribution from value chain is expected to stay stable and management's stated aim is to operate these companies profitability till a suitable buyer is found</t>
  </si>
  <si>
    <t>Annual finance lease amortization</t>
  </si>
  <si>
    <t>Capital expenditure and plant expansions</t>
  </si>
  <si>
    <t>This version</t>
  </si>
  <si>
    <t>Base Revenue</t>
  </si>
  <si>
    <t>FIXED CHARGES</t>
  </si>
  <si>
    <t>VARIABLE CHARGES</t>
  </si>
  <si>
    <t>How Tabreed bills its customers for cooling provided</t>
  </si>
  <si>
    <t>BILLING TO CUSTOMERS</t>
  </si>
  <si>
    <t>Actual usage during the period (RTh)</t>
  </si>
  <si>
    <t>Rate</t>
  </si>
  <si>
    <t>Capacity rate per RT</t>
  </si>
  <si>
    <t>Consumption rate per RTH</t>
  </si>
  <si>
    <t>Billing basis</t>
  </si>
  <si>
    <t>Rate determination</t>
  </si>
  <si>
    <t>Designed to recover investment in infrastructure over contract period and provide returns</t>
  </si>
  <si>
    <t>Designed to cover all variable costs of operation (pass through)</t>
  </si>
  <si>
    <t>Future changes</t>
  </si>
  <si>
    <t>Related costs</t>
  </si>
  <si>
    <t>Covers all variable costs of production</t>
  </si>
  <si>
    <t>Billing frequency</t>
  </si>
  <si>
    <t>Actual consumption billed monthly</t>
  </si>
  <si>
    <t>Fixed amount billed monthly</t>
  </si>
  <si>
    <t>Every customer signs an agreement to take up to a certain amount of cooling
Cooling requirement is specified in RTs, actual consumption is measured by meters</t>
  </si>
  <si>
    <t>Connected capacity represents RTs currently being billed to customers and is broadly in line with, but not equal to, physically connected capacity</t>
  </si>
  <si>
    <t>Consolidated capacity flows in the top line in the financial statement while equity accounted capacity drives the share of results of equity investments</t>
  </si>
  <si>
    <t>Covers all fixed costs of operations and all overheads and financing costs</t>
  </si>
  <si>
    <t>Revenue mix</t>
  </si>
  <si>
    <t>Sahara Cooling</t>
  </si>
  <si>
    <t>*</t>
  </si>
  <si>
    <t>Modelling assumption</t>
  </si>
  <si>
    <t>Year 0</t>
  </si>
  <si>
    <t>Weighted average ownership</t>
  </si>
  <si>
    <t>Amortization is a reduction in revenue and can be calculated from published financial statements by deducting finance income relating to finance lease receivables from lease rentals received</t>
  </si>
  <si>
    <t>4. Finance cost</t>
  </si>
  <si>
    <t>5. Value Chain</t>
  </si>
  <si>
    <t>Country</t>
  </si>
  <si>
    <t>KSA</t>
  </si>
  <si>
    <t>UAE</t>
  </si>
  <si>
    <t>Industrial City Cooling (Abu Dhabi Industrial area)</t>
  </si>
  <si>
    <t>SNC Lavalin Gulf Contractors (value chain)</t>
  </si>
  <si>
    <t>Refer to analyst guide</t>
  </si>
  <si>
    <t>(includes adjustment for finance lease amortization)</t>
  </si>
  <si>
    <t>Fixed contracted capacity (RTs)</t>
  </si>
  <si>
    <t>Any changes in variable costs (utility tariff increases etc.) passed through to customers in majority of the contracts</t>
  </si>
  <si>
    <t xml:space="preserve">All-in cost of debt - approximate </t>
  </si>
  <si>
    <t>Indexation mechanism present to increase charge periodically based on CPI (historically, pass through has been 50% - 75% of UAE CPI )</t>
  </si>
  <si>
    <t>Refer guide, Usually 50-75% of published CPI</t>
  </si>
  <si>
    <t>Published CPI</t>
  </si>
  <si>
    <t>Revenue Mix</t>
  </si>
  <si>
    <t>EBTIDA Share</t>
  </si>
  <si>
    <t>Capacity Growth</t>
  </si>
  <si>
    <t>kRT</t>
  </si>
  <si>
    <t>Cooling reserved (fixed)</t>
  </si>
  <si>
    <t>Cooling consumed (variable)</t>
  </si>
  <si>
    <t xml:space="preserve">Consolidated </t>
  </si>
  <si>
    <t>Fully contracted capacity additions</t>
  </si>
  <si>
    <t xml:space="preserve">While Tabreed does not provide forward looking information, we do provide high level guidance on fully contracted capacity additions expected in the next 2 years </t>
  </si>
  <si>
    <t>Chilled Water Margins</t>
  </si>
  <si>
    <t>Historic 5-year average revenue</t>
  </si>
  <si>
    <t>Annual cash interest cost</t>
  </si>
  <si>
    <t>Depends on distance from customers</t>
  </si>
  <si>
    <t xml:space="preserve">Maintenance capex </t>
  </si>
  <si>
    <t>Adjusted for Abu Dhabi Tariff increase</t>
  </si>
  <si>
    <t>Total debt</t>
  </si>
  <si>
    <t>Other adjustment</t>
  </si>
  <si>
    <t>Relates to hedging done by JVs and Associates</t>
  </si>
  <si>
    <t>Seasonaility</t>
  </si>
  <si>
    <t>While capacity revenue is fixed throughout the year, consumption varies in line with multiple factors such as temperature, occupancy rates etc</t>
  </si>
  <si>
    <t>Typical quarterly consumption</t>
  </si>
  <si>
    <t>Q1</t>
  </si>
  <si>
    <t>Q2</t>
  </si>
  <si>
    <t>Q3</t>
  </si>
  <si>
    <t>Q4</t>
  </si>
  <si>
    <t>EBITDA Margin</t>
  </si>
  <si>
    <t>Opening Balance (1 Jan)</t>
  </si>
  <si>
    <t>Balance at 31 December</t>
  </si>
  <si>
    <t>Finance cost is mostly made up of interest charges (loan and hedges) and amortization of loan arrangement fees on a straight line basis.</t>
  </si>
  <si>
    <t>Annual repayments*</t>
  </si>
  <si>
    <t>* Gross repayments including the upfront fee which is amortised</t>
  </si>
  <si>
    <t>* Sahara Cooling provides 55.3k RT of cooling to Tabreed which is sold by Tabreed to its customers. Revenue from those customers is included in Tabreed's top line, billings from Sahara to Tabreed are included under costs as "Purchase of Chilled Water from an Associate"</t>
  </si>
  <si>
    <t>Term Loan</t>
  </si>
  <si>
    <t>Corporate Debt</t>
  </si>
  <si>
    <t>Direct pass through of tariff increases</t>
  </si>
  <si>
    <t>Other gains and losses</t>
  </si>
  <si>
    <t>Capacity revenue is billed based on RT contracted while consumption is billed for per unit (RTh) consumed. The actual split between capacity and consumption revenue varies based on consumption during the year.</t>
  </si>
  <si>
    <t>3 years average</t>
  </si>
  <si>
    <t>Reported chilled water revenue</t>
  </si>
  <si>
    <r>
      <t xml:space="preserve">Approximate annual loan arrangement fee amortization </t>
    </r>
    <r>
      <rPr>
        <b/>
        <sz val="9"/>
        <color rgb="FFFF0000"/>
        <rFont val="Verdana"/>
        <family val="2"/>
      </rPr>
      <t>(till 2021)</t>
    </r>
  </si>
  <si>
    <t>Some of Tabreed's plant serve a single customer on a long term contract. In certain cases, the ownership of these plants transfers to the customer at the end of the term (Build-Own-Operate-Transfer structure). These assets are required to be recorded as finance lease receivable under accounting rules and asset value reduces by amortization instead of depreciation over time. This is an accounting adjustment and Tabreed follows the same billing and collection process for all of its customers regardless of this classification.
For modelling purpose, the only relevant variable is amortization which is recorded as a reduction in revenue and finance lease receivable balance.</t>
  </si>
  <si>
    <t>Lease Liabilites (IFRS 16)</t>
  </si>
  <si>
    <t>Finance Lease</t>
  </si>
  <si>
    <t>Finance cost related to lease liabilities</t>
  </si>
  <si>
    <t>Depreciation - ROU</t>
  </si>
  <si>
    <t>Right of Use Assets</t>
  </si>
  <si>
    <t>Guide</t>
  </si>
  <si>
    <t>Lease Liabilities</t>
  </si>
  <si>
    <t>Since consumption revenue is a pass through, seasonality impact revenues but not EBITDA or Net Income; EBITDA margins benefited from efficiency gains</t>
  </si>
  <si>
    <t>No significant repayment until the Sukuk matures in 2025; Total debt is excluding the Lease Liabilities which are created on implementation of IFRS 16</t>
  </si>
  <si>
    <t>12.0 / February 2021</t>
  </si>
  <si>
    <t>Non Convertible Bonds and Sukuk</t>
  </si>
  <si>
    <t>Islamic financing arrangement</t>
  </si>
  <si>
    <t>Sukuk &amp; Bond</t>
  </si>
  <si>
    <t>2020 actuals, one off</t>
  </si>
  <si>
    <t>Non Convertible Bond and Sukuk</t>
  </si>
  <si>
    <t>Intangible Assets</t>
  </si>
  <si>
    <t>Amortiztion of Customer Contracts</t>
  </si>
  <si>
    <t>Customer Contracts</t>
  </si>
  <si>
    <t>2021 Forecast</t>
  </si>
  <si>
    <t>None is expected</t>
  </si>
  <si>
    <t>Tabreed's district cooling assets have 3 separate components - Civils and buildings (life of 50 years), Distribution Network (life of 50 years) and Chillers and Equipment (life of 30 years). 
ROU assets created on implementation of IFRS 16, customer contracts created on account of Downtown DCP acquisition</t>
  </si>
  <si>
    <t>Asset Held for Sale</t>
  </si>
  <si>
    <t>Additional investment / Disposal</t>
  </si>
  <si>
    <t>Asset held for sale</t>
  </si>
  <si>
    <t>Consumption revenue varies due to change in Customer Volumes (RTh) and any change in utility tariffs resulting in additional cost pass through to customers</t>
  </si>
  <si>
    <t>Tabreed's all-in interest cost should be used to forecast intrest cost as over 99% of existing debt is fixed/hedged</t>
  </si>
  <si>
    <t>Finance lease amortization (net of CPI One Off Gain/Loss)</t>
  </si>
  <si>
    <t>ANALYST GUIDE v13.0</t>
  </si>
  <si>
    <t>Last updated: 15 February 2022</t>
  </si>
  <si>
    <t>13.0 / February 2022</t>
  </si>
  <si>
    <t>1. Updated revenue split and margins for FY2021 results
2. Incorporated impact of IFRS 16 on finance cost and finance lease</t>
  </si>
  <si>
    <t>2021 Operating segments note</t>
  </si>
  <si>
    <t>2021 Financials</t>
  </si>
  <si>
    <t>2021 Share of results (AED m)</t>
  </si>
  <si>
    <t>Business District Cooling (Al Maryah)**</t>
  </si>
  <si>
    <t xml:space="preserve">Tabreed Saudi </t>
  </si>
  <si>
    <t>** Balance 50% acquired and consolidated from Q4 2021</t>
  </si>
  <si>
    <t>Bonus Issue (1 Apr)</t>
  </si>
  <si>
    <r>
      <t xml:space="preserve">Tabreed charges off all maintenance capex as direct cost in its financial statement. </t>
    </r>
    <r>
      <rPr>
        <b/>
        <i/>
        <sz val="9"/>
        <rFont val="Verdana"/>
        <family val="2"/>
      </rPr>
      <t>The 2021 maintenance capex was less than 5% of total revenues</t>
    </r>
  </si>
  <si>
    <t>2021 actuals</t>
  </si>
  <si>
    <t>2021 Actuals</t>
  </si>
  <si>
    <t>2021 revenue</t>
  </si>
  <si>
    <t>Actual for 2021</t>
  </si>
  <si>
    <t>Actuals 2021</t>
  </si>
  <si>
    <t>2021 Consumption Profile</t>
  </si>
  <si>
    <t>Analyst Guide Assuming 0 CPI</t>
  </si>
  <si>
    <t>Every 1% change in CPI impacts finnace lease amortization by AED xx million</t>
  </si>
  <si>
    <t>2026 - 2034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</si>
</sst>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_);_(* \(#,##0\);_(* &quot;-&quot;??_);_(@_)"/>
    <numFmt numFmtId="165" formatCode="#,##0_);\(#,##0\);&quot;-  &quot;;&quot; &quot;@&quot; &quot;"/>
    <numFmt numFmtId="166" formatCode="0.00%_);\-0.00%_);&quot;-  &quot;;&quot; &quot;@&quot; &quot;"/>
    <numFmt numFmtId="167" formatCode="#,##0.0000_);\(#,##0.0000\);&quot;-  &quot;;&quot; &quot;@&quot; &quot;"/>
    <numFmt numFmtId="168" formatCode="dd\ mmm\ yyyy_);\(###0\);&quot;-  &quot;;&quot; &quot;@&quot; &quot;"/>
    <numFmt numFmtId="169" formatCode="dd\ mmm\ yy_);\(###0\);&quot;-  &quot;;&quot; &quot;@&quot; &quot;"/>
    <numFmt numFmtId="170" formatCode="###0_);\(###0\);&quot;-  &quot;;&quot; &quot;@&quot; &quot;"/>
    <numFmt numFmtId="171" formatCode="#,##0.00_);\(#,##0.00\);&quot;-  &quot;;&quot; &quot;@&quot; &quot;"/>
    <numFmt numFmtId="172" formatCode="0%_);\-0%_);&quot;-  &quot;;&quot; &quot;@&quot; &quot;"/>
    <numFmt numFmtId="173" formatCode="0.0"/>
    <numFmt numFmtId="174" formatCode="[$-F400]h:mm:ss\ AM/PM"/>
    <numFmt numFmtId="175" formatCode="#,##0.0_);\(#,##0.0\);&quot;-  &quot;;&quot; &quot;@&quot; &quot;"/>
    <numFmt numFmtId="176" formatCode="#,##0;\(#,##0\)"/>
    <numFmt numFmtId="177" formatCode="#,##0.000_);\(#,##0.000\);&quot;-  &quot;;&quot; &quot;@&quot; &quot;"/>
    <numFmt numFmtId="178" formatCode="#,##0.00000_);\(#,##0.00000\);&quot;-  &quot;;&quot; &quot;@&quot; &quot;"/>
  </numFmts>
  <fonts count="39">
    <font>
      <sz val="10"/>
      <color theme="1"/>
      <name val="Calibri"/>
      <family val="2"/>
    </font>
    <font>
      <sz val="10"/>
      <color theme="1"/>
      <name val="Calibri"/>
      <family val="2"/>
    </font>
    <font>
      <sz val="9"/>
      <color theme="1"/>
      <name val="Verdana"/>
      <family val="2"/>
    </font>
    <font>
      <b/>
      <sz val="9"/>
      <color theme="1"/>
      <name val="Verdana"/>
      <family val="2"/>
    </font>
    <font>
      <i/>
      <sz val="9"/>
      <color theme="1"/>
      <name val="Verdana"/>
      <family val="2"/>
    </font>
    <font>
      <sz val="10"/>
      <name val="Arial"/>
      <family val="2"/>
    </font>
    <font>
      <sz val="11"/>
      <color theme="1"/>
      <name val="Calibri"/>
      <family val="2"/>
      <scheme val="minor"/>
    </font>
    <font>
      <sz val="11"/>
      <color theme="1"/>
      <name val="Calibri"/>
      <family val="2"/>
    </font>
    <font>
      <sz val="10"/>
      <name val="Helvetica 45 Light"/>
      <family val="2"/>
    </font>
    <font>
      <sz val="10"/>
      <color rgb="FFFF0000"/>
      <name val="Calibri"/>
      <family val="2"/>
    </font>
    <font>
      <b/>
      <sz val="10"/>
      <color theme="1"/>
      <name val="Calibri"/>
      <family val="2"/>
    </font>
    <font>
      <b/>
      <sz val="10"/>
      <color rgb="FFFF0000"/>
      <name val="Calibri"/>
      <family val="2"/>
    </font>
    <font>
      <b/>
      <i/>
      <sz val="10"/>
      <color theme="1"/>
      <name val="Calibri"/>
      <family val="2"/>
    </font>
    <font>
      <i/>
      <sz val="10"/>
      <color theme="1"/>
      <name val="Calibri"/>
      <family val="2"/>
    </font>
    <font>
      <sz val="10"/>
      <color theme="1"/>
      <name val="Verdana"/>
      <family val="2"/>
    </font>
    <font>
      <b/>
      <sz val="10"/>
      <color theme="1"/>
      <name val="Verdana"/>
      <family val="2"/>
    </font>
    <font>
      <i/>
      <sz val="10"/>
      <color theme="1"/>
      <name val="Verdana"/>
      <family val="2"/>
    </font>
    <font>
      <b/>
      <i/>
      <sz val="10"/>
      <color theme="1"/>
      <name val="Verdana"/>
      <family val="2"/>
    </font>
    <font>
      <sz val="10"/>
      <color rgb="FFFF0000"/>
      <name val="Verdana"/>
      <family val="2"/>
    </font>
    <font>
      <b/>
      <sz val="10"/>
      <color rgb="FF0070C0"/>
      <name val="Verdana"/>
      <family val="2"/>
    </font>
    <font>
      <u/>
      <sz val="10"/>
      <color theme="1"/>
      <name val="Verdana"/>
      <family val="2"/>
    </font>
    <font>
      <b/>
      <sz val="10"/>
      <color rgb="FFFF0000"/>
      <name val="Verdana"/>
      <family val="2"/>
    </font>
    <font>
      <i/>
      <sz val="10"/>
      <color rgb="FFFF0000"/>
      <name val="Verdana"/>
      <family val="2"/>
    </font>
    <font>
      <sz val="10"/>
      <name val="Verdana"/>
      <family val="2"/>
    </font>
    <font>
      <b/>
      <sz val="10"/>
      <name val="Verdana"/>
      <family val="2"/>
    </font>
    <font>
      <b/>
      <sz val="9"/>
      <color rgb="FFFF0000"/>
      <name val="Verdana"/>
      <family val="2"/>
    </font>
    <font>
      <sz val="10"/>
      <color theme="4"/>
      <name val="Verdana"/>
      <family val="2"/>
    </font>
    <font>
      <b/>
      <i/>
      <sz val="10"/>
      <name val="Verdana"/>
      <family val="2"/>
    </font>
    <font>
      <b/>
      <sz val="10"/>
      <color theme="4"/>
      <name val="Verdana"/>
      <family val="2"/>
    </font>
    <font>
      <i/>
      <sz val="10"/>
      <color theme="4"/>
      <name val="Verdana"/>
      <family val="2"/>
    </font>
    <font>
      <sz val="10"/>
      <color theme="4"/>
      <name val="Calibri"/>
      <family val="2"/>
    </font>
    <font>
      <b/>
      <sz val="10"/>
      <color theme="4"/>
      <name val="Calibri"/>
      <family val="2"/>
    </font>
    <font>
      <i/>
      <sz val="10"/>
      <name val="Verdana"/>
      <family val="2"/>
    </font>
    <font>
      <b/>
      <i/>
      <sz val="10"/>
      <name val="Calibri"/>
      <family val="2"/>
    </font>
    <font>
      <sz val="10"/>
      <name val="Calibri"/>
      <family val="2"/>
    </font>
    <font>
      <sz val="9"/>
      <color indexed="81"/>
      <name val="Tahoma"/>
      <family val="2"/>
    </font>
    <font>
      <b/>
      <sz val="9"/>
      <color indexed="81"/>
      <name val="Tahoma"/>
      <family val="2"/>
    </font>
    <font>
      <b/>
      <i/>
      <sz val="9"/>
      <name val="Verdana"/>
      <family val="2"/>
    </font>
    <font>
      <sz val="10"/>
      <color rgb="FF0070C0"/>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C0C0C0"/>
        <bgColor indexed="64"/>
      </patternFill>
    </fill>
  </fills>
  <borders count="10">
    <border>
      <left/>
      <right/>
      <top/>
      <bottom/>
      <diagonal/>
    </border>
    <border>
      <left/>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style="thin">
        <color rgb="FF808080"/>
      </top>
      <bottom/>
      <diagonal/>
    </border>
    <border>
      <left/>
      <right/>
      <top/>
      <bottom style="thin">
        <color rgb="FF80808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bottom style="thin">
        <color indexed="64"/>
      </bottom>
      <diagonal/>
    </border>
  </borders>
  <cellStyleXfs count="14">
    <xf numFmtId="165" fontId="0" fillId="0" borderId="0" applyFont="0" applyFill="0" applyBorder="0" applyProtection="0">
      <alignment vertical="top"/>
    </xf>
    <xf numFmtId="43" fontId="1" fillId="0" borderId="0" applyFont="0" applyFill="0" applyBorder="0" applyAlignment="0" applyProtection="0"/>
    <xf numFmtId="166" fontId="1" fillId="0" borderId="0" applyFont="0" applyFill="0" applyBorder="0" applyProtection="0">
      <alignment vertical="top"/>
    </xf>
    <xf numFmtId="167" fontId="1" fillId="0" borderId="0" applyFont="0" applyFill="0" applyBorder="0" applyProtection="0">
      <alignment vertical="top"/>
    </xf>
    <xf numFmtId="168" fontId="1" fillId="0" borderId="0" applyFont="0" applyFill="0" applyBorder="0" applyProtection="0">
      <alignment vertical="top"/>
    </xf>
    <xf numFmtId="169" fontId="1" fillId="0" borderId="0" applyFont="0" applyFill="0" applyBorder="0" applyProtection="0">
      <alignment vertical="top"/>
    </xf>
    <xf numFmtId="170" fontId="1" fillId="0" borderId="0" applyFont="0" applyFill="0" applyBorder="0" applyProtection="0">
      <alignment vertical="top"/>
    </xf>
    <xf numFmtId="43" fontId="5"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0" borderId="0" applyFill="0" applyBorder="0" applyAlignment="0" applyProtection="0"/>
    <xf numFmtId="0" fontId="7" fillId="0" borderId="0"/>
    <xf numFmtId="0" fontId="8" fillId="0" borderId="0" applyFill="0" applyBorder="0" applyAlignment="0" applyProtection="0"/>
  </cellStyleXfs>
  <cellXfs count="186">
    <xf numFmtId="165" fontId="0" fillId="0" borderId="0" xfId="0">
      <alignment vertical="top"/>
    </xf>
    <xf numFmtId="165" fontId="2" fillId="0" borderId="0" xfId="0" applyFont="1">
      <alignment vertical="top"/>
    </xf>
    <xf numFmtId="165" fontId="4" fillId="0" borderId="0" xfId="0" applyFont="1" applyAlignment="1">
      <alignment horizontal="center" vertical="top"/>
    </xf>
    <xf numFmtId="165" fontId="2" fillId="2" borderId="0" xfId="0" applyFont="1" applyFill="1">
      <alignment vertical="top"/>
    </xf>
    <xf numFmtId="165" fontId="3" fillId="2" borderId="0" xfId="0" applyFont="1" applyFill="1" applyAlignment="1">
      <alignment horizontal="center" vertical="top"/>
    </xf>
    <xf numFmtId="165" fontId="4" fillId="2" borderId="0" xfId="0" applyFont="1" applyFill="1" applyAlignment="1">
      <alignment horizontal="center" vertical="top"/>
    </xf>
    <xf numFmtId="165" fontId="2" fillId="3" borderId="0" xfId="0" applyFont="1" applyFill="1">
      <alignment vertical="top"/>
    </xf>
    <xf numFmtId="164" fontId="3" fillId="2" borderId="0" xfId="1" applyNumberFormat="1" applyFont="1" applyFill="1" applyAlignment="1">
      <alignment horizontal="center"/>
    </xf>
    <xf numFmtId="165" fontId="3" fillId="3" borderId="0" xfId="0" applyFont="1" applyFill="1">
      <alignment vertical="top"/>
    </xf>
    <xf numFmtId="165" fontId="3" fillId="2" borderId="0" xfId="0" applyFont="1" applyFill="1">
      <alignment vertical="top"/>
    </xf>
    <xf numFmtId="165" fontId="3" fillId="0" borderId="0" xfId="0" applyFont="1" applyAlignment="1">
      <alignment horizontal="center" vertical="top"/>
    </xf>
    <xf numFmtId="165" fontId="0" fillId="0" borderId="3" xfId="0" applyBorder="1">
      <alignment vertical="top"/>
    </xf>
    <xf numFmtId="165" fontId="0" fillId="0" borderId="1" xfId="0" applyBorder="1">
      <alignment vertical="top"/>
    </xf>
    <xf numFmtId="166" fontId="0" fillId="0" borderId="0" xfId="2" applyFont="1">
      <alignment vertical="top"/>
    </xf>
    <xf numFmtId="164" fontId="0" fillId="0" borderId="0" xfId="1" applyNumberFormat="1" applyFont="1" applyAlignment="1">
      <alignment vertical="top"/>
    </xf>
    <xf numFmtId="165" fontId="10" fillId="0" borderId="1" xfId="0" applyFont="1" applyBorder="1">
      <alignment vertical="top"/>
    </xf>
    <xf numFmtId="165" fontId="10" fillId="0" borderId="0" xfId="0" applyFont="1">
      <alignment vertical="top"/>
    </xf>
    <xf numFmtId="165" fontId="9" fillId="0" borderId="0" xfId="0" applyFont="1">
      <alignment vertical="top"/>
    </xf>
    <xf numFmtId="165" fontId="9" fillId="4" borderId="0" xfId="0" applyFont="1" applyFill="1">
      <alignment vertical="top"/>
    </xf>
    <xf numFmtId="165" fontId="10" fillId="4" borderId="0" xfId="0" applyFont="1" applyFill="1">
      <alignment vertical="top"/>
    </xf>
    <xf numFmtId="165" fontId="11" fillId="4" borderId="0" xfId="0" applyFont="1" applyFill="1">
      <alignment vertical="top"/>
    </xf>
    <xf numFmtId="164" fontId="10" fillId="0" borderId="1" xfId="1" applyNumberFormat="1" applyFont="1" applyBorder="1" applyAlignment="1">
      <alignment vertical="top"/>
    </xf>
    <xf numFmtId="165" fontId="9" fillId="0" borderId="1" xfId="0" applyFont="1" applyBorder="1">
      <alignment vertical="top"/>
    </xf>
    <xf numFmtId="165" fontId="11" fillId="0" borderId="1" xfId="0" applyFont="1" applyBorder="1">
      <alignment vertical="top"/>
    </xf>
    <xf numFmtId="165" fontId="10" fillId="0" borderId="0" xfId="0" applyFont="1" applyAlignment="1">
      <alignment horizontal="center" vertical="top"/>
    </xf>
    <xf numFmtId="165" fontId="13" fillId="0" borderId="0" xfId="0" applyFont="1">
      <alignment vertical="top"/>
    </xf>
    <xf numFmtId="0" fontId="10" fillId="4" borderId="2" xfId="0" applyNumberFormat="1" applyFont="1" applyFill="1" applyBorder="1" applyAlignment="1">
      <alignment horizontal="center" vertical="top"/>
    </xf>
    <xf numFmtId="165" fontId="12" fillId="0" borderId="1" xfId="0" applyFont="1" applyBorder="1" applyAlignment="1">
      <alignment horizontal="center" vertical="top"/>
    </xf>
    <xf numFmtId="165" fontId="14" fillId="0" borderId="0" xfId="0" applyFont="1">
      <alignment vertical="top"/>
    </xf>
    <xf numFmtId="165" fontId="15" fillId="0" borderId="0" xfId="0" applyFont="1" applyAlignment="1">
      <alignment horizontal="center" vertical="top"/>
    </xf>
    <xf numFmtId="165" fontId="16" fillId="0" borderId="0" xfId="0" applyFont="1" applyAlignment="1">
      <alignment horizontal="center" vertical="top"/>
    </xf>
    <xf numFmtId="165" fontId="15" fillId="0" borderId="0" xfId="0" applyFont="1">
      <alignment vertical="top"/>
    </xf>
    <xf numFmtId="165" fontId="15" fillId="2" borderId="0" xfId="0" applyFont="1" applyFill="1">
      <alignment vertical="top"/>
    </xf>
    <xf numFmtId="165" fontId="14" fillId="2" borderId="0" xfId="0" applyFont="1" applyFill="1">
      <alignment vertical="top"/>
    </xf>
    <xf numFmtId="165" fontId="15" fillId="2" borderId="0" xfId="0" applyFont="1" applyFill="1" applyAlignment="1">
      <alignment horizontal="center" vertical="top"/>
    </xf>
    <xf numFmtId="165" fontId="16" fillId="2" borderId="0" xfId="0" applyFont="1" applyFill="1" applyAlignment="1">
      <alignment horizontal="center" vertical="top"/>
    </xf>
    <xf numFmtId="165" fontId="15" fillId="3" borderId="0" xfId="0" applyFont="1" applyFill="1">
      <alignment vertical="top"/>
    </xf>
    <xf numFmtId="173" fontId="14" fillId="3" borderId="0" xfId="1" applyNumberFormat="1" applyFont="1" applyFill="1" applyAlignment="1">
      <alignment horizontal="left" vertical="top"/>
    </xf>
    <xf numFmtId="17" fontId="14" fillId="3" borderId="0" xfId="0" applyNumberFormat="1" applyFont="1" applyFill="1" applyAlignment="1">
      <alignment horizontal="left" vertical="top"/>
    </xf>
    <xf numFmtId="165" fontId="15" fillId="3" borderId="0" xfId="0" applyFont="1" applyFill="1" applyAlignment="1">
      <alignment horizontal="center" vertical="top"/>
    </xf>
    <xf numFmtId="165" fontId="14" fillId="3" borderId="0" xfId="0" applyFont="1" applyFill="1">
      <alignment vertical="top"/>
    </xf>
    <xf numFmtId="165" fontId="17" fillId="3" borderId="0" xfId="0" applyFont="1" applyFill="1" applyAlignment="1">
      <alignment horizontal="center" vertical="top"/>
    </xf>
    <xf numFmtId="165" fontId="18" fillId="0" borderId="0" xfId="0" applyFont="1">
      <alignment vertical="top"/>
    </xf>
    <xf numFmtId="165" fontId="16" fillId="3" borderId="0" xfId="0" applyFont="1" applyFill="1" applyAlignment="1">
      <alignment horizontal="center" vertical="top"/>
    </xf>
    <xf numFmtId="165" fontId="14" fillId="4" borderId="0" xfId="0" applyFont="1" applyFill="1">
      <alignment vertical="top"/>
    </xf>
    <xf numFmtId="165" fontId="15" fillId="3" borderId="0" xfId="0" applyFont="1" applyFill="1" applyAlignment="1">
      <alignment vertical="top" wrapText="1"/>
    </xf>
    <xf numFmtId="165" fontId="19" fillId="3" borderId="0" xfId="0" applyFont="1" applyFill="1">
      <alignment vertical="top"/>
    </xf>
    <xf numFmtId="165" fontId="19" fillId="3" borderId="5" xfId="0" applyFont="1" applyFill="1" applyBorder="1" applyAlignment="1">
      <alignment horizontal="center" vertical="top"/>
    </xf>
    <xf numFmtId="165" fontId="17" fillId="3" borderId="1" xfId="0" applyFont="1" applyFill="1" applyBorder="1">
      <alignment vertical="top"/>
    </xf>
    <xf numFmtId="165" fontId="15" fillId="3" borderId="3" xfId="0" applyFont="1" applyFill="1" applyBorder="1">
      <alignment vertical="top"/>
    </xf>
    <xf numFmtId="165" fontId="14" fillId="3" borderId="4" xfId="0" applyFont="1" applyFill="1" applyBorder="1" applyAlignment="1">
      <alignment horizontal="center" vertical="top" wrapText="1"/>
    </xf>
    <xf numFmtId="165" fontId="17" fillId="3" borderId="4" xfId="0" applyFont="1" applyFill="1" applyBorder="1">
      <alignment vertical="top"/>
    </xf>
    <xf numFmtId="165" fontId="17" fillId="3" borderId="0" xfId="0" applyFont="1" applyFill="1">
      <alignment vertical="top"/>
    </xf>
    <xf numFmtId="165" fontId="14" fillId="3" borderId="0" xfId="0" applyFont="1" applyFill="1" applyAlignment="1">
      <alignment horizontal="center" vertical="top" wrapText="1"/>
    </xf>
    <xf numFmtId="165" fontId="17" fillId="3" borderId="3" xfId="0" applyFont="1" applyFill="1" applyBorder="1">
      <alignment vertical="top"/>
    </xf>
    <xf numFmtId="165" fontId="14" fillId="3" borderId="3" xfId="0" applyFont="1" applyFill="1" applyBorder="1" applyAlignment="1">
      <alignment horizontal="center" vertical="top" wrapText="1"/>
    </xf>
    <xf numFmtId="165" fontId="15" fillId="3" borderId="1" xfId="0" applyFont="1" applyFill="1" applyBorder="1">
      <alignment vertical="top"/>
    </xf>
    <xf numFmtId="172" fontId="14" fillId="3" borderId="1" xfId="2" applyNumberFormat="1" applyFont="1" applyFill="1" applyBorder="1" applyAlignment="1">
      <alignment horizontal="center" vertical="top"/>
    </xf>
    <xf numFmtId="166" fontId="14" fillId="3" borderId="0" xfId="2" applyFont="1" applyFill="1">
      <alignment vertical="top"/>
    </xf>
    <xf numFmtId="165" fontId="18" fillId="3" borderId="0" xfId="0" applyFont="1" applyFill="1">
      <alignment vertical="top"/>
    </xf>
    <xf numFmtId="164" fontId="15" fillId="3" borderId="0" xfId="1" applyNumberFormat="1" applyFont="1" applyFill="1" applyAlignment="1">
      <alignment horizontal="center"/>
    </xf>
    <xf numFmtId="172" fontId="14" fillId="3" borderId="0" xfId="2" applyNumberFormat="1" applyFont="1" applyFill="1">
      <alignment vertical="top"/>
    </xf>
    <xf numFmtId="164" fontId="15" fillId="3" borderId="6" xfId="1" applyNumberFormat="1" applyFont="1" applyFill="1" applyBorder="1" applyAlignment="1">
      <alignment horizontal="center"/>
    </xf>
    <xf numFmtId="164" fontId="15" fillId="3" borderId="7" xfId="1" applyNumberFormat="1" applyFont="1" applyFill="1" applyBorder="1" applyAlignment="1">
      <alignment horizontal="center"/>
    </xf>
    <xf numFmtId="165" fontId="14" fillId="3" borderId="0" xfId="0" applyFont="1" applyFill="1" applyAlignment="1">
      <alignment horizontal="left" vertical="top" indent="1"/>
    </xf>
    <xf numFmtId="165" fontId="15" fillId="3" borderId="0" xfId="0" applyFont="1" applyFill="1" applyAlignment="1">
      <alignment horizontal="left" vertical="top" indent="1"/>
    </xf>
    <xf numFmtId="164" fontId="15" fillId="0" borderId="0" xfId="1" applyNumberFormat="1" applyFont="1" applyAlignment="1">
      <alignment horizontal="center"/>
    </xf>
    <xf numFmtId="164" fontId="15" fillId="2" borderId="0" xfId="1" applyNumberFormat="1" applyFont="1" applyFill="1" applyAlignment="1">
      <alignment horizontal="center"/>
    </xf>
    <xf numFmtId="164" fontId="14" fillId="3" borderId="0" xfId="1" applyNumberFormat="1" applyFont="1" applyFill="1" applyAlignment="1">
      <alignment vertical="top"/>
    </xf>
    <xf numFmtId="166" fontId="14" fillId="0" borderId="0" xfId="2" applyFont="1">
      <alignment vertical="top"/>
    </xf>
    <xf numFmtId="165" fontId="20" fillId="3" borderId="0" xfId="0" applyFont="1" applyFill="1">
      <alignment vertical="top"/>
    </xf>
    <xf numFmtId="1" fontId="14" fillId="3" borderId="0" xfId="1" applyNumberFormat="1" applyFont="1" applyFill="1" applyAlignment="1">
      <alignment horizontal="center" vertical="top"/>
    </xf>
    <xf numFmtId="167" fontId="14" fillId="3" borderId="0" xfId="3" applyFont="1" applyFill="1">
      <alignment vertical="top"/>
    </xf>
    <xf numFmtId="171" fontId="15" fillId="3" borderId="0" xfId="3" applyNumberFormat="1" applyFont="1" applyFill="1">
      <alignment vertical="top"/>
    </xf>
    <xf numFmtId="164" fontId="14" fillId="3" borderId="0" xfId="1" applyNumberFormat="1" applyFont="1" applyFill="1" applyAlignment="1">
      <alignment horizontal="center"/>
    </xf>
    <xf numFmtId="165" fontId="16" fillId="3" borderId="0" xfId="0" applyFont="1" applyFill="1" applyAlignment="1">
      <alignment horizontal="left" vertical="top" indent="1"/>
    </xf>
    <xf numFmtId="165" fontId="14" fillId="3" borderId="0" xfId="0" applyFont="1" applyFill="1" applyAlignment="1">
      <alignment horizontal="left" vertical="top"/>
    </xf>
    <xf numFmtId="165" fontId="15" fillId="0" borderId="0" xfId="0" applyFont="1" applyAlignment="1">
      <alignment horizontal="right" vertical="top"/>
    </xf>
    <xf numFmtId="165" fontId="15" fillId="3" borderId="0" xfId="0" applyFont="1" applyFill="1" applyAlignment="1">
      <alignment horizontal="left" vertical="top"/>
    </xf>
    <xf numFmtId="165" fontId="21" fillId="3" borderId="0" xfId="0" applyFont="1" applyFill="1">
      <alignment vertical="top"/>
    </xf>
    <xf numFmtId="164" fontId="15" fillId="3" borderId="0" xfId="1" applyNumberFormat="1" applyFont="1" applyFill="1" applyAlignment="1">
      <alignment horizontal="right"/>
    </xf>
    <xf numFmtId="0" fontId="14" fillId="3" borderId="0" xfId="1" applyNumberFormat="1" applyFont="1" applyFill="1" applyAlignment="1">
      <alignment horizontal="center"/>
    </xf>
    <xf numFmtId="0" fontId="17" fillId="3" borderId="0" xfId="1" applyNumberFormat="1" applyFont="1" applyFill="1" applyAlignment="1">
      <alignment horizontal="center"/>
    </xf>
    <xf numFmtId="1" fontId="14" fillId="3" borderId="0" xfId="1" applyNumberFormat="1" applyFont="1" applyFill="1" applyAlignment="1">
      <alignment horizontal="center"/>
    </xf>
    <xf numFmtId="164" fontId="15" fillId="3" borderId="4" xfId="1" applyNumberFormat="1" applyFont="1" applyFill="1" applyBorder="1" applyAlignment="1">
      <alignment horizontal="right"/>
    </xf>
    <xf numFmtId="164" fontId="15" fillId="2" borderId="0" xfId="1" applyNumberFormat="1" applyFont="1" applyFill="1" applyAlignment="1">
      <alignment horizontal="right"/>
    </xf>
    <xf numFmtId="165" fontId="14" fillId="3" borderId="0" xfId="0" quotePrefix="1" applyFont="1" applyFill="1">
      <alignment vertical="top"/>
    </xf>
    <xf numFmtId="165" fontId="15" fillId="3" borderId="0" xfId="0" applyFont="1" applyFill="1" applyAlignment="1">
      <alignment horizontal="right" vertical="top"/>
    </xf>
    <xf numFmtId="165" fontId="14" fillId="3" borderId="8" xfId="0" applyFont="1" applyFill="1" applyBorder="1" applyAlignment="1">
      <alignment horizontal="right" vertical="top"/>
    </xf>
    <xf numFmtId="165" fontId="14" fillId="3" borderId="7" xfId="0" applyFont="1" applyFill="1" applyBorder="1" applyAlignment="1">
      <alignment horizontal="right" vertical="top"/>
    </xf>
    <xf numFmtId="165" fontId="15" fillId="3" borderId="4" xfId="0" applyFont="1" applyFill="1" applyBorder="1" applyAlignment="1">
      <alignment horizontal="right" vertical="top"/>
    </xf>
    <xf numFmtId="49" fontId="14" fillId="3" borderId="0" xfId="0" applyNumberFormat="1" applyFont="1" applyFill="1" applyAlignment="1">
      <alignment horizontal="left" vertical="top"/>
    </xf>
    <xf numFmtId="49" fontId="14" fillId="3" borderId="0" xfId="0" applyNumberFormat="1" applyFont="1" applyFill="1" applyAlignment="1">
      <alignment horizontal="center" vertical="top"/>
    </xf>
    <xf numFmtId="165" fontId="16" fillId="3" borderId="0" xfId="0" applyFont="1" applyFill="1">
      <alignment vertical="top"/>
    </xf>
    <xf numFmtId="165" fontId="14" fillId="3" borderId="0" xfId="0" applyFont="1" applyFill="1" applyAlignment="1">
      <alignment horizontal="left" vertical="top" indent="2"/>
    </xf>
    <xf numFmtId="164" fontId="15" fillId="3" borderId="1" xfId="1" applyNumberFormat="1" applyFont="1" applyFill="1" applyBorder="1" applyAlignment="1">
      <alignment horizontal="right"/>
    </xf>
    <xf numFmtId="165" fontId="15" fillId="2" borderId="0" xfId="0" applyFont="1" applyFill="1" applyAlignment="1">
      <alignment horizontal="right" vertical="top"/>
    </xf>
    <xf numFmtId="166" fontId="14" fillId="3" borderId="0" xfId="2" applyFont="1" applyFill="1" applyAlignment="1">
      <alignment horizontal="right" vertical="top"/>
    </xf>
    <xf numFmtId="165" fontId="14" fillId="3" borderId="0" xfId="0" applyFont="1" applyFill="1" applyAlignment="1">
      <alignment horizontal="right" vertical="top"/>
    </xf>
    <xf numFmtId="171" fontId="14" fillId="0" borderId="0" xfId="0" applyNumberFormat="1" applyFont="1">
      <alignment vertical="top"/>
    </xf>
    <xf numFmtId="164" fontId="14" fillId="3" borderId="0" xfId="1" applyNumberFormat="1" applyFont="1" applyFill="1" applyAlignment="1">
      <alignment horizontal="right"/>
    </xf>
    <xf numFmtId="165" fontId="14" fillId="3" borderId="0" xfId="0" applyFont="1" applyFill="1" applyAlignment="1">
      <alignment horizontal="center" vertical="top"/>
    </xf>
    <xf numFmtId="43" fontId="15" fillId="3" borderId="0" xfId="1" applyFont="1" applyFill="1" applyAlignment="1">
      <alignment horizontal="right"/>
    </xf>
    <xf numFmtId="165" fontId="16" fillId="3" borderId="0" xfId="0" applyFont="1" applyFill="1" applyAlignment="1">
      <alignment horizontal="left" vertical="top" wrapText="1"/>
    </xf>
    <xf numFmtId="49" fontId="16" fillId="3" borderId="0" xfId="0" applyNumberFormat="1" applyFont="1" applyFill="1" applyAlignment="1">
      <alignment horizontal="left" vertical="top" wrapText="1"/>
    </xf>
    <xf numFmtId="0" fontId="15" fillId="3" borderId="0" xfId="1" applyNumberFormat="1" applyFont="1" applyFill="1" applyAlignment="1">
      <alignment horizontal="center" vertical="top"/>
    </xf>
    <xf numFmtId="165" fontId="22" fillId="3" borderId="0" xfId="0" applyFont="1" applyFill="1">
      <alignment vertical="top"/>
    </xf>
    <xf numFmtId="3" fontId="14" fillId="3" borderId="0" xfId="1" applyNumberFormat="1" applyFont="1" applyFill="1" applyAlignment="1">
      <alignment horizontal="center" vertical="top"/>
    </xf>
    <xf numFmtId="3" fontId="15" fillId="3" borderId="1" xfId="1" applyNumberFormat="1" applyFont="1" applyFill="1" applyBorder="1" applyAlignment="1">
      <alignment horizontal="center" vertical="top"/>
    </xf>
    <xf numFmtId="3" fontId="15" fillId="3" borderId="1" xfId="0" applyNumberFormat="1" applyFont="1" applyFill="1" applyBorder="1" applyAlignment="1">
      <alignment horizontal="center" vertical="top"/>
    </xf>
    <xf numFmtId="3" fontId="15" fillId="3" borderId="4" xfId="0" applyNumberFormat="1" applyFont="1" applyFill="1" applyBorder="1" applyAlignment="1">
      <alignment horizontal="center" vertical="top"/>
    </xf>
    <xf numFmtId="3" fontId="14" fillId="3" borderId="0" xfId="0" applyNumberFormat="1" applyFont="1" applyFill="1">
      <alignment vertical="top"/>
    </xf>
    <xf numFmtId="3" fontId="14" fillId="3" borderId="1" xfId="0" applyNumberFormat="1" applyFont="1" applyFill="1" applyBorder="1">
      <alignment vertical="top"/>
    </xf>
    <xf numFmtId="175" fontId="0" fillId="0" borderId="0" xfId="0" applyNumberFormat="1">
      <alignment vertical="top"/>
    </xf>
    <xf numFmtId="171" fontId="0" fillId="0" borderId="0" xfId="0" applyNumberFormat="1">
      <alignment vertical="top"/>
    </xf>
    <xf numFmtId="165" fontId="15" fillId="0" borderId="0" xfId="0" applyFont="1" applyAlignment="1">
      <alignment vertical="center"/>
    </xf>
    <xf numFmtId="176" fontId="14" fillId="3" borderId="8" xfId="1" applyNumberFormat="1" applyFont="1" applyFill="1" applyBorder="1" applyAlignment="1">
      <alignment horizontal="right"/>
    </xf>
    <xf numFmtId="176" fontId="14" fillId="3" borderId="7" xfId="1" applyNumberFormat="1" applyFont="1" applyFill="1" applyBorder="1" applyAlignment="1">
      <alignment horizontal="right"/>
    </xf>
    <xf numFmtId="176" fontId="15" fillId="3" borderId="0" xfId="1" applyNumberFormat="1" applyFont="1" applyFill="1" applyAlignment="1">
      <alignment horizontal="right"/>
    </xf>
    <xf numFmtId="176" fontId="21" fillId="3" borderId="0" xfId="1" applyNumberFormat="1" applyFont="1" applyFill="1" applyAlignment="1">
      <alignment horizontal="right"/>
    </xf>
    <xf numFmtId="0" fontId="18" fillId="3" borderId="0" xfId="1" applyNumberFormat="1" applyFont="1" applyFill="1" applyAlignment="1">
      <alignment horizontal="center"/>
    </xf>
    <xf numFmtId="49" fontId="14" fillId="3" borderId="7" xfId="0" applyNumberFormat="1" applyFont="1" applyFill="1" applyBorder="1" applyAlignment="1">
      <alignment horizontal="right" vertical="top"/>
    </xf>
    <xf numFmtId="165" fontId="18" fillId="3" borderId="1" xfId="0" applyFont="1" applyFill="1" applyBorder="1">
      <alignment vertical="top"/>
    </xf>
    <xf numFmtId="3" fontId="26" fillId="3" borderId="0" xfId="1" applyNumberFormat="1" applyFont="1" applyFill="1" applyAlignment="1">
      <alignment horizontal="center" vertical="top"/>
    </xf>
    <xf numFmtId="165" fontId="27" fillId="3" borderId="0" xfId="0" applyFont="1" applyFill="1">
      <alignment vertical="top"/>
    </xf>
    <xf numFmtId="176" fontId="26" fillId="3" borderId="6" xfId="1" applyNumberFormat="1" applyFont="1" applyFill="1" applyBorder="1" applyAlignment="1">
      <alignment horizontal="right"/>
    </xf>
    <xf numFmtId="176" fontId="26" fillId="3" borderId="7" xfId="1" applyNumberFormat="1" applyFont="1" applyFill="1" applyBorder="1" applyAlignment="1">
      <alignment horizontal="right"/>
    </xf>
    <xf numFmtId="176" fontId="24" fillId="3" borderId="0" xfId="1" applyNumberFormat="1" applyFont="1" applyFill="1" applyAlignment="1">
      <alignment horizontal="right"/>
    </xf>
    <xf numFmtId="164" fontId="28" fillId="3" borderId="0" xfId="1" applyNumberFormat="1" applyFont="1" applyFill="1" applyAlignment="1">
      <alignment horizontal="center"/>
    </xf>
    <xf numFmtId="3" fontId="26" fillId="3" borderId="6" xfId="0" applyNumberFormat="1" applyFont="1" applyFill="1" applyBorder="1" applyAlignment="1">
      <alignment horizontal="center" vertical="top"/>
    </xf>
    <xf numFmtId="3" fontId="26" fillId="3" borderId="8" xfId="0" applyNumberFormat="1" applyFont="1" applyFill="1" applyBorder="1" applyAlignment="1">
      <alignment horizontal="center" vertical="top"/>
    </xf>
    <xf numFmtId="3" fontId="26" fillId="3" borderId="7" xfId="0" applyNumberFormat="1" applyFont="1" applyFill="1" applyBorder="1" applyAlignment="1">
      <alignment horizontal="center" vertical="top"/>
    </xf>
    <xf numFmtId="0" fontId="29" fillId="3" borderId="0" xfId="1" applyNumberFormat="1" applyFont="1" applyFill="1" applyAlignment="1">
      <alignment horizontal="center"/>
    </xf>
    <xf numFmtId="165" fontId="23" fillId="3" borderId="0" xfId="0" applyFont="1" applyFill="1" applyAlignment="1">
      <alignment horizontal="center" vertical="top" wrapText="1"/>
    </xf>
    <xf numFmtId="164" fontId="24" fillId="3" borderId="0" xfId="1" applyNumberFormat="1" applyFont="1" applyFill="1" applyAlignment="1">
      <alignment horizontal="center" vertical="top" wrapText="1"/>
    </xf>
    <xf numFmtId="165" fontId="24" fillId="3" borderId="0" xfId="0" applyFont="1" applyFill="1" applyAlignment="1">
      <alignment horizontal="center" vertical="top" wrapText="1"/>
    </xf>
    <xf numFmtId="165" fontId="23" fillId="0" borderId="0" xfId="0" applyFont="1">
      <alignment vertical="top"/>
    </xf>
    <xf numFmtId="165" fontId="23" fillId="0" borderId="0" xfId="0" applyFont="1" applyAlignment="1">
      <alignment horizontal="center" vertical="top" wrapText="1"/>
    </xf>
    <xf numFmtId="164" fontId="26" fillId="3" borderId="6" xfId="1" applyNumberFormat="1" applyFont="1" applyFill="1" applyBorder="1" applyAlignment="1">
      <alignment horizontal="right"/>
    </xf>
    <xf numFmtId="165" fontId="26" fillId="3" borderId="8" xfId="3" applyNumberFormat="1" applyFont="1" applyFill="1" applyBorder="1">
      <alignment vertical="top"/>
    </xf>
    <xf numFmtId="165" fontId="26" fillId="3" borderId="7" xfId="3" applyNumberFormat="1" applyFont="1" applyFill="1" applyBorder="1">
      <alignment vertical="top"/>
    </xf>
    <xf numFmtId="165" fontId="26" fillId="3" borderId="6" xfId="0" applyFont="1" applyFill="1" applyBorder="1" applyAlignment="1">
      <alignment horizontal="right" vertical="top"/>
    </xf>
    <xf numFmtId="165" fontId="26" fillId="3" borderId="8" xfId="0" applyFont="1" applyFill="1" applyBorder="1" applyAlignment="1">
      <alignment horizontal="right" vertical="top"/>
    </xf>
    <xf numFmtId="165" fontId="26" fillId="3" borderId="7" xfId="0" applyFont="1" applyFill="1" applyBorder="1" applyAlignment="1">
      <alignment horizontal="right" vertical="top"/>
    </xf>
    <xf numFmtId="165" fontId="24" fillId="3" borderId="0" xfId="0" applyFont="1" applyFill="1" applyAlignment="1">
      <alignment horizontal="left" vertical="top"/>
    </xf>
    <xf numFmtId="165" fontId="24" fillId="3" borderId="5" xfId="0" applyFont="1" applyFill="1" applyBorder="1" applyAlignment="1">
      <alignment horizontal="right" vertical="top" wrapText="1"/>
    </xf>
    <xf numFmtId="165" fontId="24" fillId="3" borderId="5" xfId="0" applyFont="1" applyFill="1" applyBorder="1" applyAlignment="1">
      <alignment horizontal="right" vertical="top"/>
    </xf>
    <xf numFmtId="164" fontId="26" fillId="3" borderId="7" xfId="1" applyNumberFormat="1" applyFont="1" applyFill="1" applyBorder="1" applyAlignment="1">
      <alignment horizontal="right"/>
    </xf>
    <xf numFmtId="164" fontId="28" fillId="3" borderId="0" xfId="1" applyNumberFormat="1" applyFont="1" applyFill="1" applyAlignment="1">
      <alignment horizontal="right"/>
    </xf>
    <xf numFmtId="164" fontId="26" fillId="3" borderId="8" xfId="1" applyNumberFormat="1" applyFont="1" applyFill="1" applyBorder="1" applyAlignment="1">
      <alignment horizontal="right"/>
    </xf>
    <xf numFmtId="165" fontId="30" fillId="0" borderId="0" xfId="0" applyFont="1">
      <alignment vertical="top"/>
    </xf>
    <xf numFmtId="164" fontId="30" fillId="0" borderId="0" xfId="1" applyNumberFormat="1" applyFont="1" applyAlignment="1">
      <alignment vertical="top"/>
    </xf>
    <xf numFmtId="165" fontId="31" fillId="0" borderId="0" xfId="0" applyFont="1">
      <alignment vertical="top"/>
    </xf>
    <xf numFmtId="177" fontId="14" fillId="3" borderId="0" xfId="0" applyNumberFormat="1" applyFont="1" applyFill="1">
      <alignment vertical="top"/>
    </xf>
    <xf numFmtId="0" fontId="24" fillId="3" borderId="5" xfId="0" applyNumberFormat="1" applyFont="1" applyFill="1" applyBorder="1" applyAlignment="1">
      <alignment horizontal="center" vertical="top"/>
    </xf>
    <xf numFmtId="178" fontId="14" fillId="3" borderId="0" xfId="0" applyNumberFormat="1" applyFont="1" applyFill="1">
      <alignment vertical="top"/>
    </xf>
    <xf numFmtId="165" fontId="15" fillId="3" borderId="0" xfId="0" applyFont="1" applyFill="1" applyBorder="1" applyAlignment="1">
      <alignment horizontal="right" vertical="top"/>
    </xf>
    <xf numFmtId="165" fontId="15" fillId="3" borderId="9" xfId="0" applyFont="1" applyFill="1" applyBorder="1">
      <alignment vertical="top"/>
    </xf>
    <xf numFmtId="165" fontId="26" fillId="3" borderId="0" xfId="0" applyFont="1" applyFill="1" applyAlignment="1">
      <alignment horizontal="right" vertical="top"/>
    </xf>
    <xf numFmtId="166" fontId="14" fillId="3" borderId="0" xfId="2" quotePrefix="1" applyFont="1" applyFill="1">
      <alignment vertical="top"/>
    </xf>
    <xf numFmtId="165" fontId="28" fillId="3" borderId="0" xfId="3" applyNumberFormat="1" applyFont="1" applyFill="1">
      <alignment vertical="top"/>
    </xf>
    <xf numFmtId="165" fontId="24" fillId="3" borderId="0" xfId="0" applyFont="1" applyFill="1" applyAlignment="1">
      <alignment horizontal="right" vertical="top"/>
    </xf>
    <xf numFmtId="165" fontId="31" fillId="0" borderId="0" xfId="0" applyFont="1" applyFill="1">
      <alignment vertical="top"/>
    </xf>
    <xf numFmtId="165" fontId="34" fillId="0" borderId="0" xfId="0" applyFont="1">
      <alignment vertical="top"/>
    </xf>
    <xf numFmtId="165" fontId="9" fillId="0" borderId="3" xfId="0" applyFont="1" applyBorder="1">
      <alignment vertical="top"/>
    </xf>
    <xf numFmtId="165" fontId="9" fillId="0" borderId="4" xfId="0" applyFont="1" applyBorder="1">
      <alignment vertical="top"/>
    </xf>
    <xf numFmtId="165" fontId="0" fillId="0" borderId="4" xfId="0" applyBorder="1">
      <alignment vertical="top"/>
    </xf>
    <xf numFmtId="49" fontId="16" fillId="3" borderId="0" xfId="0" applyNumberFormat="1" applyFont="1" applyFill="1" applyAlignment="1">
      <alignment horizontal="left" vertical="top" wrapText="1"/>
    </xf>
    <xf numFmtId="171" fontId="38" fillId="0" borderId="0" xfId="0" applyNumberFormat="1" applyFont="1">
      <alignment vertical="top"/>
    </xf>
    <xf numFmtId="177" fontId="0" fillId="0" borderId="0" xfId="0" applyNumberFormat="1">
      <alignment vertical="top"/>
    </xf>
    <xf numFmtId="164" fontId="26" fillId="3" borderId="6" xfId="1" applyNumberFormat="1" applyFont="1" applyFill="1" applyBorder="1" applyAlignment="1">
      <alignment horizontal="center"/>
    </xf>
    <xf numFmtId="164" fontId="26" fillId="3" borderId="8" xfId="1" applyNumberFormat="1" applyFont="1" applyFill="1" applyBorder="1" applyAlignment="1">
      <alignment horizontal="center"/>
    </xf>
    <xf numFmtId="164" fontId="26" fillId="3" borderId="7" xfId="1" applyNumberFormat="1" applyFont="1" applyFill="1" applyBorder="1" applyAlignment="1">
      <alignment horizontal="center"/>
    </xf>
    <xf numFmtId="166" fontId="26" fillId="3" borderId="0" xfId="2" applyFont="1" applyFill="1" applyAlignment="1">
      <alignment horizontal="right" vertical="top"/>
    </xf>
    <xf numFmtId="165" fontId="16" fillId="3" borderId="0" xfId="0" applyFont="1" applyFill="1" applyAlignment="1">
      <alignment horizontal="left" vertical="top" wrapText="1"/>
    </xf>
    <xf numFmtId="0" fontId="16" fillId="3" borderId="0" xfId="0" applyNumberFormat="1" applyFont="1" applyFill="1" applyAlignment="1">
      <alignment horizontal="left" vertical="center" wrapText="1"/>
    </xf>
    <xf numFmtId="0" fontId="16" fillId="3" borderId="0" xfId="0" applyNumberFormat="1" applyFont="1" applyFill="1" applyAlignment="1">
      <alignment horizontal="left" vertical="top" wrapText="1"/>
    </xf>
    <xf numFmtId="0" fontId="16" fillId="3" borderId="0" xfId="0" applyNumberFormat="1" applyFont="1" applyFill="1" applyAlignment="1">
      <alignment horizontal="left" vertical="top"/>
    </xf>
    <xf numFmtId="165" fontId="15" fillId="3" borderId="0" xfId="0" applyFont="1" applyFill="1" applyAlignment="1">
      <alignment horizontal="center" vertical="top"/>
    </xf>
    <xf numFmtId="165" fontId="17" fillId="3" borderId="0" xfId="0" applyFont="1" applyFill="1" applyAlignment="1">
      <alignment horizontal="center" vertical="top" wrapText="1"/>
    </xf>
    <xf numFmtId="49" fontId="16" fillId="3" borderId="0" xfId="0" applyNumberFormat="1" applyFont="1" applyFill="1" applyAlignment="1">
      <alignment horizontal="left" vertical="top" wrapText="1"/>
    </xf>
    <xf numFmtId="165" fontId="15" fillId="0" borderId="0" xfId="0" applyFont="1" applyAlignment="1">
      <alignment horizontal="center" vertical="top"/>
    </xf>
    <xf numFmtId="165" fontId="32" fillId="3" borderId="0" xfId="0" applyFont="1" applyFill="1" applyAlignment="1">
      <alignment horizontal="left" vertical="top" wrapText="1"/>
    </xf>
    <xf numFmtId="174" fontId="16" fillId="3" borderId="0" xfId="0" applyNumberFormat="1" applyFont="1" applyFill="1" applyAlignment="1">
      <alignment horizontal="left" vertical="top" wrapText="1"/>
    </xf>
    <xf numFmtId="165" fontId="33" fillId="3" borderId="0" xfId="0" applyFont="1" applyFill="1" applyAlignment="1">
      <alignment horizontal="left" vertical="top" wrapText="1"/>
    </xf>
    <xf numFmtId="165" fontId="12" fillId="3" borderId="0" xfId="0" applyFont="1" applyFill="1" applyAlignment="1">
      <alignment horizontal="left" vertical="top" wrapText="1"/>
    </xf>
  </cellXfs>
  <cellStyles count="14">
    <cellStyle name="Comma" xfId="1" builtinId="3"/>
    <cellStyle name="Comma 2" xfId="9" xr:uid="{00000000-0005-0000-0000-000001000000}"/>
    <cellStyle name="Comma 2 10" xfId="7" xr:uid="{00000000-0005-0000-0000-000002000000}"/>
    <cellStyle name="DateLong" xfId="4" xr:uid="{00000000-0005-0000-0000-000003000000}"/>
    <cellStyle name="DateShort" xfId="5" xr:uid="{00000000-0005-0000-0000-000004000000}"/>
    <cellStyle name="Factor" xfId="3" xr:uid="{00000000-0005-0000-0000-000005000000}"/>
    <cellStyle name="Normal" xfId="0" builtinId="0" customBuiltin="1"/>
    <cellStyle name="Normal 2" xfId="8" xr:uid="{00000000-0005-0000-0000-000007000000}"/>
    <cellStyle name="Normal 3" xfId="10" xr:uid="{00000000-0005-0000-0000-000008000000}"/>
    <cellStyle name="Normal 4" xfId="11" xr:uid="{00000000-0005-0000-0000-000009000000}"/>
    <cellStyle name="Normal 6" xfId="12" xr:uid="{00000000-0005-0000-0000-00000A000000}"/>
    <cellStyle name="Percent" xfId="2" builtinId="5" customBuiltin="1"/>
    <cellStyle name="Style 1" xfId="13" xr:uid="{00000000-0005-0000-0000-00000C000000}"/>
    <cellStyle name="Year" xfId="6"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1635466</xdr:colOff>
      <xdr:row>15</xdr:row>
      <xdr:rowOff>130046</xdr:rowOff>
    </xdr:from>
    <xdr:to>
      <xdr:col>4</xdr:col>
      <xdr:colOff>483471</xdr:colOff>
      <xdr:row>22</xdr:row>
      <xdr:rowOff>60257</xdr:rowOff>
    </xdr:to>
    <xdr:pic>
      <xdr:nvPicPr>
        <xdr:cNvPr id="4" name="Picture 3" descr="D:\IETemp\Temporary Internet Files\Content.IE5\1WXV328I\Emoji_u2744.svg[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6231" y="3435781"/>
          <a:ext cx="965917" cy="1005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741078</xdr:colOff>
      <xdr:row>24</xdr:row>
      <xdr:rowOff>54511</xdr:rowOff>
    </xdr:from>
    <xdr:to>
      <xdr:col>4</xdr:col>
      <xdr:colOff>1403067</xdr:colOff>
      <xdr:row>26</xdr:row>
      <xdr:rowOff>116421</xdr:rowOff>
    </xdr:to>
    <xdr:sp macro="" textlink="">
      <xdr:nvSpPr>
        <xdr:cNvPr id="8" name="Left Brace 7">
          <a:extLst>
            <a:ext uri="{FF2B5EF4-FFF2-40B4-BE49-F238E27FC236}">
              <a16:creationId xmlns:a16="http://schemas.microsoft.com/office/drawing/2014/main" id="{00000000-0008-0000-0000-000008000000}"/>
            </a:ext>
          </a:extLst>
        </xdr:cNvPr>
        <xdr:cNvSpPr/>
      </xdr:nvSpPr>
      <xdr:spPr>
        <a:xfrm rot="5400000">
          <a:off x="8724618" y="3056471"/>
          <a:ext cx="379410" cy="2778655"/>
        </a:xfrm>
        <a:prstGeom prst="leftBrace">
          <a:avLst/>
        </a:prstGeom>
        <a:ln w="381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328083</xdr:colOff>
      <xdr:row>18</xdr:row>
      <xdr:rowOff>105836</xdr:rowOff>
    </xdr:from>
    <xdr:to>
      <xdr:col>3</xdr:col>
      <xdr:colOff>254000</xdr:colOff>
      <xdr:row>22</xdr:row>
      <xdr:rowOff>42333</xdr:rowOff>
    </xdr:to>
    <xdr:sp macro="" textlink="">
      <xdr:nvSpPr>
        <xdr:cNvPr id="10" name="Right Arrow 9">
          <a:extLst>
            <a:ext uri="{FF2B5EF4-FFF2-40B4-BE49-F238E27FC236}">
              <a16:creationId xmlns:a16="http://schemas.microsoft.com/office/drawing/2014/main" id="{00000000-0008-0000-0000-00000A000000}"/>
            </a:ext>
          </a:extLst>
        </xdr:cNvPr>
        <xdr:cNvSpPr/>
      </xdr:nvSpPr>
      <xdr:spPr>
        <a:xfrm>
          <a:off x="4360333" y="3915836"/>
          <a:ext cx="1375834" cy="529164"/>
        </a:xfrm>
        <a:prstGeom prst="righ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158752</xdr:colOff>
      <xdr:row>16</xdr:row>
      <xdr:rowOff>84444</xdr:rowOff>
    </xdr:from>
    <xdr:to>
      <xdr:col>0</xdr:col>
      <xdr:colOff>1183218</xdr:colOff>
      <xdr:row>23</xdr:row>
      <xdr:rowOff>29695</xdr:rowOff>
    </xdr:to>
    <xdr:pic>
      <xdr:nvPicPr>
        <xdr:cNvPr id="12" name="Picture 11" descr="http://www.iuncapped.co.za/images/contract-ico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58752" y="3598111"/>
          <a:ext cx="1024466" cy="1038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116417</xdr:colOff>
      <xdr:row>1</xdr:row>
      <xdr:rowOff>21167</xdr:rowOff>
    </xdr:from>
    <xdr:to>
      <xdr:col>0</xdr:col>
      <xdr:colOff>1364036</xdr:colOff>
      <xdr:row>3</xdr:row>
      <xdr:rowOff>17953</xdr:rowOff>
    </xdr:to>
    <xdr:pic>
      <xdr:nvPicPr>
        <xdr:cNvPr id="2" name="Picture 1">
          <a:extLst>
            <a:ext uri="{FF2B5EF4-FFF2-40B4-BE49-F238E27FC236}">
              <a16:creationId xmlns:a16="http://schemas.microsoft.com/office/drawing/2014/main" id="{A4B1819D-2C2E-490E-8C66-7733CE8A3215}"/>
            </a:ext>
          </a:extLst>
        </xdr:cNvPr>
        <xdr:cNvPicPr>
          <a:picLocks noChangeAspect="1"/>
        </xdr:cNvPicPr>
      </xdr:nvPicPr>
      <xdr:blipFill>
        <a:blip xmlns:r="http://schemas.openxmlformats.org/officeDocument/2006/relationships" r:embed="rId3"/>
        <a:stretch>
          <a:fillRect/>
        </a:stretch>
      </xdr:blipFill>
      <xdr:spPr>
        <a:xfrm>
          <a:off x="116417" y="179917"/>
          <a:ext cx="1247619" cy="3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105833</xdr:colOff>
      <xdr:row>1</xdr:row>
      <xdr:rowOff>148164</xdr:rowOff>
    </xdr:from>
    <xdr:to>
      <xdr:col>1</xdr:col>
      <xdr:colOff>739619</xdr:colOff>
      <xdr:row>3</xdr:row>
      <xdr:rowOff>144950</xdr:rowOff>
    </xdr:to>
    <xdr:pic>
      <xdr:nvPicPr>
        <xdr:cNvPr id="3" name="Picture 2">
          <a:extLst>
            <a:ext uri="{FF2B5EF4-FFF2-40B4-BE49-F238E27FC236}">
              <a16:creationId xmlns:a16="http://schemas.microsoft.com/office/drawing/2014/main" id="{19ECCD14-B63C-4F8B-B1A3-D2A2BB746062}"/>
            </a:ext>
          </a:extLst>
        </xdr:cNvPr>
        <xdr:cNvPicPr>
          <a:picLocks noChangeAspect="1"/>
        </xdr:cNvPicPr>
      </xdr:nvPicPr>
      <xdr:blipFill>
        <a:blip xmlns:r="http://schemas.openxmlformats.org/officeDocument/2006/relationships" r:embed="rId1"/>
        <a:stretch>
          <a:fillRect/>
        </a:stretch>
      </xdr:blipFill>
      <xdr:spPr>
        <a:xfrm>
          <a:off x="105833" y="296331"/>
          <a:ext cx="1247619" cy="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8563"/>
  <sheetViews>
    <sheetView showGridLines="0" topLeftCell="A217" zoomScale="90" zoomScaleNormal="90" zoomScaleSheetLayoutView="91" workbookViewId="0">
      <selection activeCell="E234" sqref="E234"/>
    </sheetView>
  </sheetViews>
  <sheetFormatPr defaultColWidth="0" defaultRowHeight="12.75" zeroHeight="1"/>
  <cols>
    <col min="1" max="1" width="20.42578125" style="28" customWidth="1"/>
    <col min="2" max="2" width="62.140625" style="28" bestFit="1" customWidth="1"/>
    <col min="3" max="3" width="25.140625" style="28" customWidth="1"/>
    <col min="4" max="4" width="31.7109375" style="28" customWidth="1"/>
    <col min="5" max="5" width="31.7109375" style="29" customWidth="1"/>
    <col min="6" max="6" width="25.140625" style="30" customWidth="1"/>
    <col min="7" max="8" width="14.5703125" style="28" hidden="1" customWidth="1"/>
    <col min="9" max="11" width="9.140625" style="28" hidden="1" customWidth="1"/>
    <col min="12" max="12" width="8" style="28" hidden="1" customWidth="1"/>
    <col min="13" max="13" width="0" style="28" hidden="1" customWidth="1"/>
    <col min="14" max="16384" width="0" style="28" hidden="1"/>
  </cols>
  <sheetData>
    <row r="1" spans="1:10"/>
    <row r="2" spans="1:10">
      <c r="B2" s="181" t="s">
        <v>18</v>
      </c>
      <c r="C2" s="181"/>
      <c r="D2" s="181"/>
      <c r="E2" s="181"/>
      <c r="F2" s="181"/>
      <c r="G2" s="31"/>
    </row>
    <row r="3" spans="1:10">
      <c r="B3" s="181" t="s">
        <v>293</v>
      </c>
      <c r="C3" s="181"/>
      <c r="D3" s="181"/>
      <c r="E3" s="181"/>
      <c r="F3" s="181"/>
      <c r="G3" s="31"/>
    </row>
    <row r="4" spans="1:10" ht="28.5" customHeight="1">
      <c r="B4" s="181" t="s">
        <v>294</v>
      </c>
      <c r="C4" s="181"/>
      <c r="D4" s="181"/>
      <c r="E4" s="181"/>
      <c r="F4" s="181"/>
    </row>
    <row r="5" spans="1:10">
      <c r="A5" s="32" t="s">
        <v>95</v>
      </c>
      <c r="B5" s="33"/>
      <c r="C5" s="33"/>
      <c r="D5" s="33"/>
      <c r="E5" s="34"/>
      <c r="F5" s="35"/>
    </row>
    <row r="6" spans="1:10">
      <c r="A6" s="36"/>
      <c r="B6" s="36" t="s">
        <v>93</v>
      </c>
      <c r="C6" s="37" t="s">
        <v>275</v>
      </c>
      <c r="D6" s="38"/>
      <c r="E6" s="39"/>
      <c r="F6" s="38"/>
    </row>
    <row r="7" spans="1:10">
      <c r="A7" s="36"/>
      <c r="B7" s="36" t="s">
        <v>179</v>
      </c>
      <c r="C7" s="37" t="s">
        <v>295</v>
      </c>
      <c r="D7" s="40"/>
      <c r="E7" s="39"/>
      <c r="F7" s="41"/>
    </row>
    <row r="8" spans="1:10" ht="26.25" customHeight="1">
      <c r="A8" s="40"/>
      <c r="B8" s="36" t="s">
        <v>94</v>
      </c>
      <c r="C8" s="176" t="s">
        <v>296</v>
      </c>
      <c r="D8" s="177"/>
      <c r="E8" s="177"/>
      <c r="F8" s="177"/>
      <c r="H8"/>
    </row>
    <row r="9" spans="1:10">
      <c r="B9" s="29"/>
      <c r="C9" s="29"/>
      <c r="D9" s="29"/>
      <c r="F9" s="29"/>
    </row>
    <row r="10" spans="1:10">
      <c r="A10" s="32" t="s">
        <v>2</v>
      </c>
      <c r="B10" s="33"/>
      <c r="C10" s="33"/>
      <c r="D10" s="33"/>
      <c r="E10" s="34"/>
      <c r="F10" s="35"/>
      <c r="G10" s="42"/>
    </row>
    <row r="11" spans="1:10">
      <c r="A11" s="36"/>
      <c r="B11" s="40" t="s">
        <v>229</v>
      </c>
      <c r="C11" s="40"/>
      <c r="D11" s="40"/>
      <c r="E11" s="39" t="s">
        <v>1</v>
      </c>
      <c r="F11" s="43" t="s">
        <v>3</v>
      </c>
    </row>
    <row r="12" spans="1:10">
      <c r="A12" s="40"/>
      <c r="B12" s="40" t="s">
        <v>230</v>
      </c>
      <c r="C12" s="40"/>
      <c r="D12" s="40"/>
      <c r="E12" s="39" t="s">
        <v>4</v>
      </c>
      <c r="F12" s="43" t="s">
        <v>5</v>
      </c>
    </row>
    <row r="13" spans="1:10"/>
    <row r="14" spans="1:10">
      <c r="A14" s="32" t="s">
        <v>0</v>
      </c>
      <c r="B14" s="33"/>
      <c r="C14" s="33"/>
      <c r="D14" s="33"/>
      <c r="E14" s="34"/>
      <c r="F14" s="35"/>
      <c r="G14" s="42"/>
    </row>
    <row r="15" spans="1:10" s="44" customFormat="1">
      <c r="A15" s="36" t="s">
        <v>183</v>
      </c>
      <c r="B15" s="40"/>
      <c r="C15" s="40"/>
      <c r="D15" s="40"/>
      <c r="E15" s="39"/>
      <c r="F15" s="43"/>
      <c r="G15" s="42"/>
      <c r="H15" s="28"/>
      <c r="I15" s="28"/>
      <c r="J15" s="28"/>
    </row>
    <row r="16" spans="1:10" s="44" customFormat="1">
      <c r="A16" s="36"/>
      <c r="B16" s="40"/>
      <c r="C16" s="40"/>
      <c r="D16" s="40"/>
      <c r="E16" s="39"/>
      <c r="F16" s="43"/>
      <c r="G16" s="42"/>
      <c r="H16" s="28"/>
      <c r="I16" s="28"/>
      <c r="J16" s="28"/>
    </row>
    <row r="17" spans="1:10" s="44" customFormat="1">
      <c r="A17" s="36"/>
      <c r="B17" s="40"/>
      <c r="C17" s="40"/>
      <c r="D17" s="40"/>
      <c r="E17" s="39"/>
      <c r="F17" s="43"/>
      <c r="G17" s="42"/>
      <c r="H17" s="28"/>
      <c r="I17" s="28"/>
      <c r="J17" s="28"/>
    </row>
    <row r="18" spans="1:10" s="44" customFormat="1" ht="11.25" customHeight="1">
      <c r="A18" s="36"/>
      <c r="B18" s="179" t="s">
        <v>199</v>
      </c>
      <c r="C18" s="40"/>
      <c r="D18" s="40"/>
      <c r="E18" s="39"/>
      <c r="F18" s="43"/>
      <c r="G18" s="42"/>
      <c r="H18" s="28"/>
      <c r="I18" s="28"/>
      <c r="J18" s="28"/>
    </row>
    <row r="19" spans="1:10" s="44" customFormat="1">
      <c r="A19" s="36"/>
      <c r="B19" s="179"/>
      <c r="C19" s="40"/>
      <c r="D19" s="40"/>
      <c r="E19" s="39"/>
      <c r="F19" s="43"/>
      <c r="G19" s="42"/>
      <c r="H19" s="28"/>
      <c r="I19" s="28"/>
      <c r="J19" s="28"/>
    </row>
    <row r="20" spans="1:10" s="44" customFormat="1">
      <c r="A20" s="36"/>
      <c r="B20" s="179"/>
      <c r="C20" s="40"/>
      <c r="D20" s="40"/>
      <c r="E20" s="39"/>
      <c r="F20" s="43"/>
      <c r="G20" s="42"/>
      <c r="H20" s="28"/>
      <c r="I20" s="28"/>
      <c r="J20" s="28"/>
    </row>
    <row r="21" spans="1:10" s="44" customFormat="1" ht="11.25" customHeight="1">
      <c r="A21" s="36"/>
      <c r="B21" s="179"/>
      <c r="C21" s="40"/>
      <c r="D21" s="40"/>
      <c r="E21" s="39"/>
      <c r="F21" s="45"/>
      <c r="G21" s="42"/>
      <c r="H21" s="28"/>
      <c r="I21" s="28"/>
      <c r="J21" s="28"/>
    </row>
    <row r="22" spans="1:10" s="44" customFormat="1">
      <c r="A22" s="36"/>
      <c r="B22" s="179"/>
      <c r="C22" s="40"/>
      <c r="D22" s="40"/>
      <c r="E22" s="45"/>
      <c r="F22" s="43"/>
      <c r="G22" s="42"/>
      <c r="H22" s="28"/>
      <c r="I22" s="28"/>
      <c r="J22" s="28"/>
    </row>
    <row r="23" spans="1:10" s="44" customFormat="1">
      <c r="A23" s="36"/>
      <c r="B23" s="179"/>
      <c r="C23" s="40"/>
      <c r="D23" s="40"/>
      <c r="E23" s="45"/>
      <c r="F23" s="43"/>
      <c r="G23" s="42"/>
      <c r="H23" s="28"/>
      <c r="I23" s="28"/>
      <c r="J23" s="28"/>
    </row>
    <row r="24" spans="1:10" s="44" customFormat="1">
      <c r="A24" s="36"/>
      <c r="B24" s="179"/>
      <c r="C24" s="40"/>
      <c r="D24" s="178" t="s">
        <v>184</v>
      </c>
      <c r="E24" s="178"/>
      <c r="F24" s="43"/>
      <c r="G24" s="42"/>
      <c r="H24" s="28"/>
      <c r="I24" s="28"/>
      <c r="J24" s="28"/>
    </row>
    <row r="25" spans="1:10" s="44" customFormat="1">
      <c r="A25" s="36"/>
      <c r="B25" s="40"/>
      <c r="C25" s="40"/>
      <c r="D25" s="40"/>
      <c r="E25" s="39"/>
      <c r="F25" s="43"/>
      <c r="G25" s="42"/>
      <c r="H25" s="28"/>
      <c r="I25" s="28"/>
      <c r="J25" s="28"/>
    </row>
    <row r="26" spans="1:10" s="44" customFormat="1">
      <c r="A26" s="36"/>
      <c r="B26" s="40"/>
      <c r="C26" s="40"/>
      <c r="D26" s="40"/>
      <c r="E26" s="39"/>
      <c r="F26" s="43"/>
      <c r="G26" s="42"/>
      <c r="H26" s="28"/>
      <c r="I26" s="28"/>
      <c r="J26" s="28"/>
    </row>
    <row r="27" spans="1:10" s="44" customFormat="1">
      <c r="A27" s="36"/>
      <c r="B27" s="40"/>
      <c r="C27" s="40"/>
      <c r="D27" s="40"/>
      <c r="E27" s="39"/>
      <c r="F27" s="43"/>
      <c r="G27" s="42"/>
      <c r="H27" s="28"/>
      <c r="I27" s="28"/>
      <c r="J27" s="28"/>
    </row>
    <row r="28" spans="1:10" s="44" customFormat="1">
      <c r="A28" s="36"/>
      <c r="B28" s="46"/>
      <c r="C28" s="36"/>
      <c r="D28" s="47" t="s">
        <v>181</v>
      </c>
      <c r="E28" s="47" t="s">
        <v>182</v>
      </c>
      <c r="F28" s="43"/>
      <c r="G28" s="42"/>
      <c r="H28" s="28"/>
      <c r="I28" s="28"/>
      <c r="J28" s="28"/>
    </row>
    <row r="29" spans="1:10" s="44" customFormat="1" ht="25.5">
      <c r="A29" s="36"/>
      <c r="B29" s="48" t="s">
        <v>189</v>
      </c>
      <c r="C29" s="49"/>
      <c r="D29" s="50" t="s">
        <v>219</v>
      </c>
      <c r="E29" s="50" t="s">
        <v>185</v>
      </c>
      <c r="F29" s="43"/>
      <c r="G29" s="42"/>
      <c r="H29" s="28"/>
      <c r="I29" s="28"/>
      <c r="J29" s="28"/>
    </row>
    <row r="30" spans="1:10" s="44" customFormat="1" ht="25.5">
      <c r="A30" s="36"/>
      <c r="B30" s="51" t="s">
        <v>196</v>
      </c>
      <c r="C30" s="49"/>
      <c r="D30" s="50" t="s">
        <v>198</v>
      </c>
      <c r="E30" s="50" t="s">
        <v>197</v>
      </c>
      <c r="F30" s="43"/>
      <c r="G30" s="42"/>
      <c r="H30" s="28"/>
      <c r="I30" s="28"/>
      <c r="J30" s="28"/>
    </row>
    <row r="31" spans="1:10" s="44" customFormat="1">
      <c r="A31" s="36"/>
      <c r="B31" s="52" t="s">
        <v>186</v>
      </c>
      <c r="C31" s="49"/>
      <c r="D31" s="53" t="s">
        <v>187</v>
      </c>
      <c r="E31" s="53" t="s">
        <v>188</v>
      </c>
      <c r="F31" s="43"/>
      <c r="G31" s="42"/>
      <c r="H31" s="28"/>
      <c r="I31" s="28"/>
      <c r="J31" s="28"/>
    </row>
    <row r="32" spans="1:10" s="44" customFormat="1" ht="51">
      <c r="A32" s="36"/>
      <c r="B32" s="54" t="s">
        <v>190</v>
      </c>
      <c r="C32" s="49"/>
      <c r="D32" s="55" t="s">
        <v>191</v>
      </c>
      <c r="E32" s="55" t="s">
        <v>192</v>
      </c>
      <c r="F32" s="43"/>
      <c r="G32" s="42"/>
      <c r="H32" s="28"/>
      <c r="I32" s="28"/>
      <c r="J32" s="28"/>
    </row>
    <row r="33" spans="1:10" s="44" customFormat="1" ht="63.75">
      <c r="A33" s="36"/>
      <c r="B33" s="54" t="s">
        <v>193</v>
      </c>
      <c r="C33" s="56"/>
      <c r="D33" s="55" t="s">
        <v>222</v>
      </c>
      <c r="E33" s="55" t="s">
        <v>220</v>
      </c>
      <c r="F33" s="43"/>
      <c r="G33" s="42"/>
      <c r="H33" s="28"/>
      <c r="I33" s="28"/>
      <c r="J33" s="28"/>
    </row>
    <row r="34" spans="1:10" s="44" customFormat="1" ht="38.25">
      <c r="A34" s="36"/>
      <c r="B34" s="54" t="s">
        <v>194</v>
      </c>
      <c r="C34" s="36"/>
      <c r="D34" s="55" t="s">
        <v>202</v>
      </c>
      <c r="E34" s="55" t="s">
        <v>195</v>
      </c>
      <c r="F34" s="43"/>
      <c r="G34" s="42"/>
      <c r="H34" s="28"/>
      <c r="I34" s="28"/>
      <c r="J34" s="28"/>
    </row>
    <row r="35" spans="1:10" s="44" customFormat="1">
      <c r="A35" s="36"/>
      <c r="B35" s="48" t="s">
        <v>203</v>
      </c>
      <c r="C35" s="122"/>
      <c r="D35" s="57">
        <f>E67/100</f>
        <v>0.59</v>
      </c>
      <c r="E35" s="57">
        <f>E68/100</f>
        <v>0.41</v>
      </c>
      <c r="F35" s="43"/>
      <c r="G35" s="42"/>
      <c r="H35" s="28"/>
      <c r="I35" s="28"/>
      <c r="J35" s="28"/>
    </row>
    <row r="36" spans="1:10" s="44" customFormat="1">
      <c r="A36" s="36"/>
      <c r="B36" s="36"/>
      <c r="C36" s="58"/>
      <c r="D36" s="58"/>
      <c r="E36" s="39"/>
      <c r="F36" s="43"/>
      <c r="G36" s="42"/>
      <c r="H36" s="28"/>
      <c r="I36" s="28"/>
      <c r="J36" s="28"/>
    </row>
    <row r="37" spans="1:10">
      <c r="A37" s="40"/>
      <c r="B37" s="36" t="s">
        <v>37</v>
      </c>
      <c r="C37" s="59" t="s">
        <v>45</v>
      </c>
      <c r="D37" s="40"/>
      <c r="E37" s="60">
        <f>E38+E39</f>
        <v>1210.0962</v>
      </c>
      <c r="F37" s="43" t="s">
        <v>228</v>
      </c>
    </row>
    <row r="38" spans="1:10">
      <c r="A38" s="40"/>
      <c r="B38" s="40" t="s">
        <v>19</v>
      </c>
      <c r="C38" s="40"/>
      <c r="D38" s="61">
        <f>+E38/$E$37</f>
        <v>0.90195986071190049</v>
      </c>
      <c r="E38" s="62">
        <f>F51</f>
        <v>1091.4582</v>
      </c>
      <c r="F38" s="43" t="s">
        <v>228</v>
      </c>
    </row>
    <row r="39" spans="1:10">
      <c r="A39" s="40"/>
      <c r="B39" s="40" t="s">
        <v>6</v>
      </c>
      <c r="C39" s="40"/>
      <c r="D39" s="61">
        <f>+E39/$E$37</f>
        <v>9.8040139288099584E-2</v>
      </c>
      <c r="E39" s="63">
        <f>F56</f>
        <v>118.63800000000001</v>
      </c>
      <c r="F39" s="43" t="s">
        <v>228</v>
      </c>
    </row>
    <row r="40" spans="1:10">
      <c r="A40" s="40"/>
      <c r="B40" s="40"/>
      <c r="C40" s="40"/>
      <c r="D40" s="61"/>
      <c r="E40" s="60"/>
      <c r="F40" s="43"/>
    </row>
    <row r="41" spans="1:10">
      <c r="A41" s="40"/>
      <c r="B41" s="36" t="s">
        <v>42</v>
      </c>
      <c r="C41" s="59" t="s">
        <v>45</v>
      </c>
      <c r="D41" s="61"/>
      <c r="E41" s="62">
        <f>F48</f>
        <v>1025.4251999999999</v>
      </c>
      <c r="F41" s="43" t="s">
        <v>228</v>
      </c>
    </row>
    <row r="42" spans="1:10">
      <c r="A42" s="40"/>
      <c r="B42" s="36" t="s">
        <v>43</v>
      </c>
      <c r="C42" s="59" t="s">
        <v>45</v>
      </c>
      <c r="D42" s="61"/>
      <c r="E42" s="63">
        <f>SUM(F49:F50)</f>
        <v>66.032999999999987</v>
      </c>
      <c r="F42" s="43" t="s">
        <v>228</v>
      </c>
    </row>
    <row r="43" spans="1:10">
      <c r="A43" s="40"/>
      <c r="B43" s="40"/>
      <c r="C43" s="40"/>
      <c r="D43" s="61"/>
      <c r="E43" s="60"/>
      <c r="F43" s="43"/>
    </row>
    <row r="44" spans="1:10">
      <c r="A44" s="174" t="s">
        <v>200</v>
      </c>
      <c r="B44" s="174"/>
      <c r="C44" s="174"/>
      <c r="D44" s="174"/>
      <c r="E44" s="174"/>
      <c r="F44" s="174"/>
    </row>
    <row r="45" spans="1:10">
      <c r="A45" s="174" t="s">
        <v>201</v>
      </c>
      <c r="B45" s="174"/>
      <c r="C45" s="174"/>
      <c r="D45" s="174"/>
      <c r="E45" s="174"/>
      <c r="F45" s="174"/>
    </row>
    <row r="46" spans="1:10">
      <c r="A46" s="40"/>
      <c r="B46" s="40"/>
      <c r="C46" s="40"/>
      <c r="D46" s="40"/>
      <c r="E46" s="40"/>
      <c r="F46" s="153"/>
    </row>
    <row r="47" spans="1:10">
      <c r="A47" s="40"/>
      <c r="B47" s="124" t="s">
        <v>96</v>
      </c>
      <c r="C47" s="154">
        <v>2018</v>
      </c>
      <c r="D47" s="154">
        <f>C47+1</f>
        <v>2019</v>
      </c>
      <c r="E47" s="154">
        <f>D47+1</f>
        <v>2020</v>
      </c>
      <c r="F47" s="154">
        <f>E47+1</f>
        <v>2021</v>
      </c>
    </row>
    <row r="48" spans="1:10">
      <c r="A48" s="40"/>
      <c r="B48" s="64" t="s">
        <v>64</v>
      </c>
      <c r="C48" s="123">
        <v>701.9190000000001</v>
      </c>
      <c r="D48" s="123">
        <v>723.58500000000004</v>
      </c>
      <c r="E48" s="123">
        <v>927.83019999999999</v>
      </c>
      <c r="F48" s="123">
        <v>1025.4251999999999</v>
      </c>
    </row>
    <row r="49" spans="1:8">
      <c r="A49" s="40"/>
      <c r="B49" s="64" t="s">
        <v>58</v>
      </c>
      <c r="C49" s="123">
        <v>23.853000000000002</v>
      </c>
      <c r="D49" s="123">
        <v>32.253</v>
      </c>
      <c r="E49" s="123">
        <v>32.253</v>
      </c>
      <c r="F49" s="123">
        <v>32.552999999999997</v>
      </c>
    </row>
    <row r="50" spans="1:8">
      <c r="A50" s="40"/>
      <c r="B50" s="64" t="s">
        <v>59</v>
      </c>
      <c r="C50" s="123">
        <v>26.681000000000001</v>
      </c>
      <c r="D50" s="123">
        <v>27.951000000000001</v>
      </c>
      <c r="E50" s="123">
        <v>32.347999999999999</v>
      </c>
      <c r="F50" s="123">
        <v>33.479999999999997</v>
      </c>
    </row>
    <row r="51" spans="1:8">
      <c r="A51" s="40"/>
      <c r="B51" s="65" t="s">
        <v>66</v>
      </c>
      <c r="C51" s="108">
        <f t="shared" ref="C51:E51" si="0">SUM(C48:C50)</f>
        <v>752.45300000000009</v>
      </c>
      <c r="D51" s="108">
        <f t="shared" si="0"/>
        <v>783.7890000000001</v>
      </c>
      <c r="E51" s="108">
        <f t="shared" si="0"/>
        <v>992.43119999999999</v>
      </c>
      <c r="F51" s="108">
        <f t="shared" ref="F51" si="1">SUM(F48:F50)</f>
        <v>1091.4582</v>
      </c>
    </row>
    <row r="52" spans="1:8">
      <c r="A52" s="40"/>
      <c r="B52" s="65"/>
      <c r="C52" s="105"/>
      <c r="D52" s="105"/>
      <c r="E52" s="105"/>
      <c r="F52" s="105"/>
    </row>
    <row r="53" spans="1:8">
      <c r="A53" s="40"/>
      <c r="B53" s="64" t="s">
        <v>65</v>
      </c>
      <c r="C53" s="123">
        <v>71.411000000000001</v>
      </c>
      <c r="D53" s="123">
        <v>71.411000000000001</v>
      </c>
      <c r="E53" s="123">
        <v>71.411000000000001</v>
      </c>
      <c r="F53" s="123">
        <v>8.73</v>
      </c>
    </row>
    <row r="54" spans="1:8">
      <c r="A54" s="40"/>
      <c r="B54" s="64"/>
      <c r="C54" s="123"/>
      <c r="D54" s="123"/>
      <c r="E54" s="123"/>
      <c r="F54" s="123"/>
    </row>
    <row r="55" spans="1:8">
      <c r="A55" s="40"/>
      <c r="B55" s="64" t="s">
        <v>31</v>
      </c>
      <c r="C55" s="123">
        <v>89.908000000000001</v>
      </c>
      <c r="D55" s="123">
        <v>109.908</v>
      </c>
      <c r="E55" s="123">
        <v>109.908</v>
      </c>
      <c r="F55" s="123">
        <v>109.908</v>
      </c>
    </row>
    <row r="56" spans="1:8">
      <c r="A56" s="40"/>
      <c r="B56" s="65" t="s">
        <v>78</v>
      </c>
      <c r="C56" s="108">
        <f t="shared" ref="C56:E56" si="2">SUM(C53:C55)</f>
        <v>161.31900000000002</v>
      </c>
      <c r="D56" s="108">
        <f t="shared" si="2"/>
        <v>181.31900000000002</v>
      </c>
      <c r="E56" s="108">
        <f t="shared" si="2"/>
        <v>181.31900000000002</v>
      </c>
      <c r="F56" s="108">
        <f t="shared" ref="F56" si="3">SUM(F53:F55)</f>
        <v>118.63800000000001</v>
      </c>
    </row>
    <row r="57" spans="1:8">
      <c r="A57" s="40"/>
      <c r="B57" s="64"/>
      <c r="C57" s="107"/>
      <c r="D57" s="107"/>
      <c r="E57" s="107"/>
      <c r="F57" s="107"/>
    </row>
    <row r="58" spans="1:8">
      <c r="A58" s="40"/>
      <c r="B58" s="65" t="s">
        <v>60</v>
      </c>
      <c r="C58" s="109">
        <f t="shared" ref="C58:E58" si="4">+C56+C51</f>
        <v>913.77200000000016</v>
      </c>
      <c r="D58" s="109">
        <f t="shared" si="4"/>
        <v>965.10800000000017</v>
      </c>
      <c r="E58" s="109">
        <f t="shared" si="4"/>
        <v>1173.7501999999999</v>
      </c>
      <c r="F58" s="109">
        <f t="shared" ref="F58" si="5">+F56+F51</f>
        <v>1210.0962</v>
      </c>
    </row>
    <row r="59" spans="1:8">
      <c r="A59" s="40"/>
      <c r="B59" s="40"/>
      <c r="C59" s="40"/>
      <c r="D59" s="40"/>
      <c r="E59" s="40"/>
      <c r="F59" s="40"/>
    </row>
    <row r="60" spans="1:8">
      <c r="E60" s="66"/>
    </row>
    <row r="61" spans="1:8">
      <c r="A61" s="32" t="s">
        <v>41</v>
      </c>
      <c r="B61" s="33"/>
      <c r="C61" s="33"/>
      <c r="D61" s="33"/>
      <c r="E61" s="67"/>
      <c r="F61" s="35"/>
      <c r="G61" s="42"/>
    </row>
    <row r="62" spans="1:8">
      <c r="A62" s="40"/>
      <c r="B62" s="40" t="s">
        <v>32</v>
      </c>
      <c r="C62" s="59" t="s">
        <v>206</v>
      </c>
      <c r="D62" s="68"/>
      <c r="E62" s="125">
        <v>1800</v>
      </c>
      <c r="F62" s="43" t="s">
        <v>33</v>
      </c>
      <c r="H62" s="69"/>
    </row>
    <row r="63" spans="1:8">
      <c r="A63" s="40"/>
      <c r="B63" s="40" t="s">
        <v>68</v>
      </c>
      <c r="C63" s="59"/>
      <c r="D63" s="68"/>
      <c r="E63" s="116">
        <f>E38</f>
        <v>1091.4582</v>
      </c>
      <c r="F63" s="43" t="s">
        <v>228</v>
      </c>
      <c r="H63" s="69"/>
    </row>
    <row r="64" spans="1:8">
      <c r="A64" s="40"/>
      <c r="B64" s="40" t="s">
        <v>67</v>
      </c>
      <c r="C64" s="68"/>
      <c r="D64" s="68"/>
      <c r="E64" s="117">
        <f>+E62*E63/1000</f>
        <v>1964.6247599999999</v>
      </c>
      <c r="F64" s="43" t="s">
        <v>36</v>
      </c>
    </row>
    <row r="65" spans="1:6">
      <c r="A65" s="40"/>
      <c r="B65" s="40"/>
      <c r="C65" s="40"/>
      <c r="D65" s="40"/>
      <c r="E65" s="118"/>
      <c r="F65" s="43"/>
    </row>
    <row r="66" spans="1:6">
      <c r="A66" s="40"/>
      <c r="B66" s="70" t="s">
        <v>225</v>
      </c>
      <c r="C66" s="40"/>
      <c r="D66" s="40"/>
      <c r="E66" s="118"/>
      <c r="F66" s="43"/>
    </row>
    <row r="67" spans="1:6">
      <c r="A67" s="40"/>
      <c r="B67" s="40" t="s">
        <v>34</v>
      </c>
      <c r="C67" s="59" t="s">
        <v>262</v>
      </c>
      <c r="D67" s="40"/>
      <c r="E67" s="125">
        <f>100-E68</f>
        <v>59</v>
      </c>
      <c r="F67" s="43" t="s">
        <v>7</v>
      </c>
    </row>
    <row r="68" spans="1:6">
      <c r="A68" s="40"/>
      <c r="B68" s="40" t="s">
        <v>35</v>
      </c>
      <c r="C68" s="59" t="s">
        <v>262</v>
      </c>
      <c r="D68" s="40"/>
      <c r="E68" s="126">
        <v>41</v>
      </c>
      <c r="F68" s="43" t="s">
        <v>7</v>
      </c>
    </row>
    <row r="69" spans="1:6">
      <c r="A69" s="40"/>
      <c r="B69" s="40"/>
      <c r="C69" s="40"/>
      <c r="D69" s="71"/>
      <c r="E69" s="119"/>
      <c r="F69" s="43"/>
    </row>
    <row r="70" spans="1:6">
      <c r="A70" s="40"/>
      <c r="B70" s="70" t="s">
        <v>226</v>
      </c>
      <c r="C70" s="40"/>
      <c r="D70" s="71"/>
      <c r="E70" s="119"/>
      <c r="F70" s="43"/>
    </row>
    <row r="71" spans="1:6">
      <c r="A71" s="40"/>
      <c r="B71" s="40" t="s">
        <v>34</v>
      </c>
      <c r="C71" s="59" t="s">
        <v>262</v>
      </c>
      <c r="D71" s="71"/>
      <c r="E71" s="125">
        <f>100-E72</f>
        <v>79</v>
      </c>
      <c r="F71" s="43" t="s">
        <v>7</v>
      </c>
    </row>
    <row r="72" spans="1:6">
      <c r="A72" s="40"/>
      <c r="B72" s="40" t="s">
        <v>35</v>
      </c>
      <c r="C72" s="59" t="s">
        <v>262</v>
      </c>
      <c r="D72" s="71"/>
      <c r="E72" s="126">
        <v>21</v>
      </c>
      <c r="F72" s="43" t="s">
        <v>7</v>
      </c>
    </row>
    <row r="73" spans="1:6">
      <c r="A73" s="40"/>
      <c r="B73" s="40"/>
      <c r="C73" s="40"/>
      <c r="D73" s="71"/>
      <c r="E73" s="118"/>
      <c r="F73" s="43"/>
    </row>
    <row r="74" spans="1:6">
      <c r="A74" s="40"/>
      <c r="B74" s="40" t="s">
        <v>110</v>
      </c>
      <c r="C74" s="59"/>
      <c r="D74" s="71"/>
      <c r="E74" s="125">
        <f>1882.09+110</f>
        <v>1992.09</v>
      </c>
      <c r="F74" s="43" t="s">
        <v>20</v>
      </c>
    </row>
    <row r="75" spans="1:6">
      <c r="A75" s="40"/>
      <c r="B75" s="40" t="s">
        <v>292</v>
      </c>
      <c r="C75" s="59" t="s">
        <v>311</v>
      </c>
      <c r="D75" s="71"/>
      <c r="E75" s="126">
        <v>-110</v>
      </c>
      <c r="F75" s="43" t="s">
        <v>20</v>
      </c>
    </row>
    <row r="76" spans="1:6">
      <c r="A76" s="40"/>
      <c r="B76" s="36" t="s">
        <v>263</v>
      </c>
      <c r="C76" s="59" t="s">
        <v>297</v>
      </c>
      <c r="D76" s="71"/>
      <c r="E76" s="118">
        <f>SUM(E74:E75)</f>
        <v>1882.09</v>
      </c>
      <c r="F76" s="43" t="s">
        <v>20</v>
      </c>
    </row>
    <row r="77" spans="1:6">
      <c r="A77" s="40"/>
      <c r="B77" s="40"/>
      <c r="C77" s="40"/>
      <c r="D77" s="72"/>
      <c r="E77" s="73"/>
      <c r="F77" s="43"/>
    </row>
    <row r="78" spans="1:6" ht="29.25" customHeight="1">
      <c r="A78" s="180" t="s">
        <v>261</v>
      </c>
      <c r="B78" s="180"/>
      <c r="C78" s="180"/>
      <c r="D78" s="180"/>
      <c r="E78" s="180"/>
      <c r="F78" s="180"/>
    </row>
    <row r="79" spans="1:6">
      <c r="A79" s="180" t="s">
        <v>175</v>
      </c>
      <c r="B79" s="180"/>
      <c r="C79" s="180"/>
      <c r="D79" s="180"/>
      <c r="E79" s="180"/>
      <c r="F79" s="180"/>
    </row>
    <row r="80" spans="1:6">
      <c r="A80" s="180" t="s">
        <v>312</v>
      </c>
      <c r="B80" s="180"/>
      <c r="C80" s="180"/>
      <c r="D80" s="180"/>
      <c r="E80" s="180"/>
      <c r="F80" s="180"/>
    </row>
    <row r="81" spans="1:7">
      <c r="E81" s="66"/>
    </row>
    <row r="82" spans="1:7">
      <c r="A82" s="32" t="s">
        <v>227</v>
      </c>
      <c r="B82" s="33"/>
      <c r="C82" s="33"/>
      <c r="D82" s="33"/>
      <c r="E82" s="67"/>
      <c r="F82" s="35"/>
      <c r="G82" s="42"/>
    </row>
    <row r="83" spans="1:7">
      <c r="A83" s="40" t="s">
        <v>233</v>
      </c>
      <c r="B83" s="40"/>
      <c r="C83" s="59"/>
      <c r="D83" s="40"/>
      <c r="E83" s="74"/>
      <c r="F83" s="43"/>
    </row>
    <row r="84" spans="1:7">
      <c r="A84" s="40"/>
      <c r="B84" s="40"/>
      <c r="C84" s="59"/>
      <c r="D84" s="40"/>
      <c r="E84" s="74"/>
      <c r="F84" s="43"/>
    </row>
    <row r="85" spans="1:7">
      <c r="A85" s="40"/>
      <c r="B85" s="36" t="s">
        <v>232</v>
      </c>
      <c r="C85" s="59"/>
      <c r="D85" s="40"/>
      <c r="E85" s="127">
        <f>SUM(E86:E87)</f>
        <v>120</v>
      </c>
      <c r="F85" s="43" t="s">
        <v>228</v>
      </c>
    </row>
    <row r="86" spans="1:7">
      <c r="A86" s="40"/>
      <c r="B86" s="75" t="s">
        <v>231</v>
      </c>
      <c r="C86" s="59"/>
      <c r="D86" s="155"/>
      <c r="E86" s="125">
        <v>84</v>
      </c>
      <c r="F86" s="43" t="s">
        <v>228</v>
      </c>
    </row>
    <row r="87" spans="1:7">
      <c r="A87" s="40"/>
      <c r="B87" s="75" t="s">
        <v>6</v>
      </c>
      <c r="C87" s="59"/>
      <c r="D87" s="155"/>
      <c r="E87" s="126">
        <v>36</v>
      </c>
      <c r="F87" s="43" t="s">
        <v>228</v>
      </c>
    </row>
    <row r="88" spans="1:7">
      <c r="A88" s="40"/>
      <c r="B88" s="75"/>
      <c r="C88" s="59"/>
      <c r="D88" s="40"/>
      <c r="E88" s="74"/>
      <c r="F88" s="43"/>
    </row>
    <row r="89" spans="1:7">
      <c r="A89" s="40"/>
      <c r="B89" s="40"/>
      <c r="C89" s="59"/>
      <c r="D89" s="40"/>
      <c r="E89" s="74"/>
      <c r="F89" s="43"/>
    </row>
    <row r="90" spans="1:7">
      <c r="E90" s="66"/>
    </row>
    <row r="91" spans="1:7">
      <c r="A91" s="32" t="s">
        <v>234</v>
      </c>
      <c r="B91" s="33"/>
      <c r="C91" s="33"/>
      <c r="D91" s="33"/>
      <c r="E91" s="33"/>
      <c r="F91" s="35"/>
      <c r="G91" s="42"/>
    </row>
    <row r="92" spans="1:7">
      <c r="A92" s="40"/>
      <c r="B92" s="36" t="s">
        <v>161</v>
      </c>
      <c r="C92" s="106"/>
      <c r="D92" s="58"/>
      <c r="E92" s="128">
        <v>45</v>
      </c>
      <c r="F92" s="43" t="s">
        <v>7</v>
      </c>
    </row>
    <row r="93" spans="1:7">
      <c r="A93" s="40"/>
      <c r="B93" s="40"/>
      <c r="C93" s="40"/>
      <c r="D93" s="40"/>
      <c r="E93" s="128"/>
      <c r="F93" s="43"/>
    </row>
    <row r="94" spans="1:7">
      <c r="A94" s="40"/>
      <c r="B94" s="36" t="s">
        <v>46</v>
      </c>
      <c r="C94" s="106"/>
      <c r="D94" s="58"/>
      <c r="E94" s="128">
        <v>32</v>
      </c>
      <c r="F94" s="43" t="s">
        <v>7</v>
      </c>
    </row>
    <row r="95" spans="1:7">
      <c r="A95" s="40"/>
      <c r="B95" s="40"/>
      <c r="C95" s="40"/>
      <c r="D95" s="40"/>
      <c r="E95" s="128"/>
      <c r="F95" s="43"/>
    </row>
    <row r="96" spans="1:7">
      <c r="A96" s="40"/>
      <c r="B96" s="36" t="s">
        <v>9</v>
      </c>
      <c r="C96" s="106" t="s">
        <v>218</v>
      </c>
      <c r="D96" s="40"/>
      <c r="E96" s="128">
        <v>54</v>
      </c>
      <c r="F96" s="43" t="s">
        <v>7</v>
      </c>
    </row>
    <row r="97" spans="1:7">
      <c r="A97" s="40"/>
      <c r="B97" s="40"/>
      <c r="C97" s="40"/>
      <c r="D97" s="36"/>
      <c r="E97" s="60"/>
      <c r="F97" s="43"/>
    </row>
    <row r="98" spans="1:7">
      <c r="A98" s="174" t="s">
        <v>63</v>
      </c>
      <c r="B98" s="174"/>
      <c r="C98" s="174"/>
      <c r="D98" s="174"/>
      <c r="E98" s="174"/>
      <c r="F98" s="174"/>
    </row>
    <row r="99" spans="1:7">
      <c r="E99" s="77"/>
    </row>
    <row r="100" spans="1:7">
      <c r="A100" s="32" t="s">
        <v>243</v>
      </c>
      <c r="B100" s="33"/>
      <c r="C100" s="33"/>
      <c r="D100" s="33"/>
      <c r="E100" s="67"/>
      <c r="F100" s="35"/>
      <c r="G100" s="42"/>
    </row>
    <row r="101" spans="1:7">
      <c r="A101" s="40" t="s">
        <v>244</v>
      </c>
      <c r="B101" s="40"/>
      <c r="C101" s="59"/>
      <c r="D101" s="40"/>
      <c r="E101" s="74"/>
      <c r="F101" s="43"/>
    </row>
    <row r="102" spans="1:7">
      <c r="A102" s="40"/>
      <c r="B102" s="40"/>
      <c r="C102" s="59"/>
      <c r="D102" s="40"/>
      <c r="E102" s="74"/>
      <c r="F102" s="43"/>
    </row>
    <row r="103" spans="1:7">
      <c r="A103" s="40"/>
      <c r="B103" s="36" t="s">
        <v>245</v>
      </c>
      <c r="C103" s="59"/>
      <c r="D103" s="40"/>
      <c r="E103" s="60"/>
      <c r="F103" s="43"/>
    </row>
    <row r="104" spans="1:7">
      <c r="A104" s="40"/>
      <c r="B104" s="40" t="s">
        <v>246</v>
      </c>
      <c r="C104" s="59" t="s">
        <v>310</v>
      </c>
      <c r="D104" s="61"/>
      <c r="E104" s="170">
        <v>11.089305218617032</v>
      </c>
      <c r="F104" s="43" t="s">
        <v>7</v>
      </c>
    </row>
    <row r="105" spans="1:7">
      <c r="A105" s="40"/>
      <c r="B105" s="40" t="s">
        <v>247</v>
      </c>
      <c r="C105" s="59" t="s">
        <v>310</v>
      </c>
      <c r="D105" s="61"/>
      <c r="E105" s="171">
        <v>26.658517003934534</v>
      </c>
      <c r="F105" s="43" t="s">
        <v>7</v>
      </c>
    </row>
    <row r="106" spans="1:7">
      <c r="A106" s="40"/>
      <c r="B106" s="40" t="s">
        <v>248</v>
      </c>
      <c r="C106" s="59" t="s">
        <v>310</v>
      </c>
      <c r="D106" s="61"/>
      <c r="E106" s="171">
        <v>37.862331566299382</v>
      </c>
      <c r="F106" s="43" t="s">
        <v>7</v>
      </c>
    </row>
    <row r="107" spans="1:7">
      <c r="A107" s="40"/>
      <c r="B107" s="40" t="s">
        <v>249</v>
      </c>
      <c r="C107" s="59" t="s">
        <v>310</v>
      </c>
      <c r="D107" s="61"/>
      <c r="E107" s="172">
        <v>24.389846211149045</v>
      </c>
      <c r="F107" s="43" t="s">
        <v>7</v>
      </c>
    </row>
    <row r="108" spans="1:7">
      <c r="A108" s="40"/>
      <c r="B108" s="40"/>
      <c r="C108" s="59"/>
      <c r="D108" s="40"/>
      <c r="E108" s="80">
        <f>SUM(E104:E107)</f>
        <v>99.999999999999986</v>
      </c>
      <c r="F108" s="43"/>
    </row>
    <row r="109" spans="1:7">
      <c r="A109" s="40"/>
      <c r="B109" s="75"/>
      <c r="C109" s="59"/>
      <c r="D109" s="40"/>
      <c r="E109" s="74"/>
      <c r="F109" s="43"/>
    </row>
    <row r="110" spans="1:7">
      <c r="A110" s="40" t="s">
        <v>273</v>
      </c>
      <c r="B110" s="40"/>
      <c r="C110" s="59"/>
      <c r="D110" s="40"/>
      <c r="E110" s="74"/>
      <c r="F110" s="43"/>
    </row>
    <row r="111" spans="1:7">
      <c r="E111" s="66"/>
    </row>
    <row r="112" spans="1:7">
      <c r="A112" s="32" t="s">
        <v>160</v>
      </c>
      <c r="B112" s="33"/>
      <c r="C112" s="33"/>
      <c r="D112" s="33"/>
      <c r="E112" s="67"/>
      <c r="F112" s="35"/>
      <c r="G112" s="42"/>
    </row>
    <row r="113" spans="1:12">
      <c r="A113" s="40"/>
      <c r="B113" s="36" t="s">
        <v>161</v>
      </c>
      <c r="C113" s="59" t="s">
        <v>298</v>
      </c>
      <c r="D113" s="36"/>
      <c r="E113" s="160">
        <v>40</v>
      </c>
      <c r="F113" s="43" t="s">
        <v>7</v>
      </c>
    </row>
    <row r="114" spans="1:12">
      <c r="A114" s="40"/>
      <c r="B114" s="36" t="s">
        <v>46</v>
      </c>
      <c r="C114" s="59" t="s">
        <v>298</v>
      </c>
      <c r="D114" s="36"/>
      <c r="E114" s="160">
        <v>20</v>
      </c>
      <c r="F114" s="43" t="s">
        <v>7</v>
      </c>
    </row>
    <row r="115" spans="1:12">
      <c r="A115" s="40"/>
      <c r="B115" s="36" t="s">
        <v>250</v>
      </c>
      <c r="C115" s="59" t="s">
        <v>298</v>
      </c>
      <c r="D115" s="40"/>
      <c r="E115" s="160">
        <v>30</v>
      </c>
      <c r="F115" s="43" t="s">
        <v>7</v>
      </c>
    </row>
    <row r="116" spans="1:12">
      <c r="A116" s="40"/>
      <c r="B116" s="78" t="s">
        <v>235</v>
      </c>
      <c r="C116" s="79"/>
      <c r="D116" s="36"/>
      <c r="E116" s="160">
        <v>75</v>
      </c>
      <c r="F116" s="41" t="s">
        <v>20</v>
      </c>
    </row>
    <row r="117" spans="1:12">
      <c r="A117" s="40"/>
      <c r="B117" s="36"/>
      <c r="C117" s="40"/>
      <c r="D117" s="40"/>
      <c r="E117" s="80"/>
      <c r="F117" s="43"/>
    </row>
    <row r="118" spans="1:12" ht="30.75" customHeight="1">
      <c r="A118" s="176" t="s">
        <v>176</v>
      </c>
      <c r="B118" s="176"/>
      <c r="C118" s="176"/>
      <c r="D118" s="176"/>
      <c r="E118" s="176"/>
      <c r="F118" s="176"/>
    </row>
    <row r="119" spans="1:12">
      <c r="E119" s="66"/>
    </row>
    <row r="120" spans="1:12">
      <c r="A120" s="32" t="s">
        <v>16</v>
      </c>
      <c r="B120" s="33"/>
      <c r="C120" s="33"/>
      <c r="D120" s="33"/>
      <c r="E120" s="67"/>
      <c r="F120" s="35"/>
      <c r="G120" s="42"/>
      <c r="H120" s="42"/>
      <c r="I120" s="42"/>
      <c r="J120" s="42"/>
    </row>
    <row r="121" spans="1:12" s="137" customFormat="1" ht="25.5">
      <c r="A121" s="133"/>
      <c r="B121" s="133"/>
      <c r="C121" s="134" t="s">
        <v>212</v>
      </c>
      <c r="D121" s="134" t="s">
        <v>40</v>
      </c>
      <c r="E121" s="135" t="s">
        <v>38</v>
      </c>
      <c r="F121" s="135" t="s">
        <v>299</v>
      </c>
      <c r="G121" s="136"/>
      <c r="H121" s="136"/>
      <c r="I121" s="136"/>
      <c r="J121" s="136"/>
      <c r="K121" s="136"/>
      <c r="L121" s="136"/>
    </row>
    <row r="122" spans="1:12">
      <c r="A122" s="40"/>
      <c r="B122" s="40" t="s">
        <v>17</v>
      </c>
      <c r="C122" s="81" t="s">
        <v>57</v>
      </c>
      <c r="D122" s="132">
        <v>0</v>
      </c>
      <c r="E122" s="129"/>
      <c r="F122" s="129">
        <f>76.682</f>
        <v>76.682000000000002</v>
      </c>
      <c r="G122" s="42"/>
      <c r="H122" s="42"/>
      <c r="I122" s="42"/>
      <c r="J122" s="42"/>
    </row>
    <row r="123" spans="1:12">
      <c r="A123" s="40"/>
      <c r="B123" s="40" t="s">
        <v>301</v>
      </c>
      <c r="C123" s="81" t="s">
        <v>213</v>
      </c>
      <c r="D123" s="132">
        <v>28</v>
      </c>
      <c r="E123" s="130">
        <v>109.908</v>
      </c>
      <c r="F123" s="130">
        <f>1.4</f>
        <v>1.4</v>
      </c>
      <c r="G123" s="42"/>
      <c r="H123" s="42"/>
      <c r="I123" s="42"/>
      <c r="J123" s="42"/>
    </row>
    <row r="124" spans="1:12">
      <c r="A124" s="40"/>
      <c r="B124" s="40" t="s">
        <v>300</v>
      </c>
      <c r="C124" s="81" t="s">
        <v>214</v>
      </c>
      <c r="D124" s="132">
        <v>100</v>
      </c>
      <c r="E124" s="130">
        <v>65.183999999999997</v>
      </c>
      <c r="F124" s="130">
        <f>14.984</f>
        <v>14.984</v>
      </c>
      <c r="G124" s="42"/>
      <c r="H124" s="42"/>
      <c r="I124" s="42"/>
      <c r="J124" s="42"/>
    </row>
    <row r="125" spans="1:12" hidden="1">
      <c r="A125" s="40"/>
      <c r="B125" s="59"/>
      <c r="C125" s="120"/>
      <c r="D125" s="132"/>
      <c r="E125" s="130"/>
      <c r="F125" s="130"/>
      <c r="G125" s="42"/>
      <c r="H125" s="42"/>
      <c r="I125" s="42"/>
      <c r="J125" s="42"/>
    </row>
    <row r="126" spans="1:12">
      <c r="A126" s="40"/>
      <c r="B126" s="40" t="s">
        <v>204</v>
      </c>
      <c r="C126" s="81" t="s">
        <v>214</v>
      </c>
      <c r="D126" s="132">
        <v>40</v>
      </c>
      <c r="E126" s="130" t="s">
        <v>205</v>
      </c>
      <c r="F126" s="130">
        <f>22.14</f>
        <v>22.14</v>
      </c>
      <c r="G126" s="42"/>
      <c r="H126" s="42"/>
      <c r="I126" s="42"/>
      <c r="J126" s="42"/>
    </row>
    <row r="127" spans="1:12">
      <c r="A127" s="40"/>
      <c r="B127" s="40" t="s">
        <v>215</v>
      </c>
      <c r="C127" s="81" t="s">
        <v>214</v>
      </c>
      <c r="D127" s="132">
        <v>20</v>
      </c>
      <c r="E127" s="130">
        <f>8.73</f>
        <v>8.73</v>
      </c>
      <c r="F127" s="130">
        <v>-2.5139999999999998</v>
      </c>
      <c r="G127" s="42"/>
      <c r="H127" s="42"/>
      <c r="I127" s="42"/>
      <c r="J127" s="42"/>
    </row>
    <row r="128" spans="1:12">
      <c r="A128" s="40"/>
      <c r="B128" s="40" t="s">
        <v>216</v>
      </c>
      <c r="C128" s="81" t="s">
        <v>214</v>
      </c>
      <c r="D128" s="132">
        <v>51</v>
      </c>
      <c r="E128" s="131">
        <v>0</v>
      </c>
      <c r="F128" s="131">
        <v>-0.33700000000000002</v>
      </c>
      <c r="G128" s="42"/>
      <c r="H128" s="42"/>
      <c r="I128" s="42"/>
      <c r="J128" s="42"/>
    </row>
    <row r="129" spans="1:10">
      <c r="A129" s="40"/>
      <c r="B129" s="36" t="s">
        <v>70</v>
      </c>
      <c r="C129" s="40"/>
      <c r="D129" s="82"/>
      <c r="E129" s="110">
        <f>SUM(E122:E128)</f>
        <v>183.82199999999997</v>
      </c>
      <c r="F129" s="110">
        <f>SUM(F122:F128)</f>
        <v>112.355</v>
      </c>
      <c r="G129" s="42"/>
      <c r="H129" s="42"/>
      <c r="I129" s="42"/>
      <c r="J129" s="42"/>
    </row>
    <row r="130" spans="1:10">
      <c r="A130" s="40"/>
      <c r="B130" s="40"/>
      <c r="C130" s="40"/>
      <c r="D130" s="82"/>
      <c r="E130" s="111"/>
      <c r="F130" s="111"/>
      <c r="G130" s="42"/>
      <c r="H130" s="42"/>
      <c r="I130" s="42"/>
      <c r="J130" s="42"/>
    </row>
    <row r="131" spans="1:10">
      <c r="A131" s="40"/>
      <c r="B131" s="36" t="s">
        <v>208</v>
      </c>
      <c r="C131" s="59"/>
      <c r="D131" s="83">
        <f>SUMPRODUCT(D122:D127,E122:E127)/E129</f>
        <v>53.151548780885868</v>
      </c>
      <c r="E131" s="109">
        <f>+E129*D131%</f>
        <v>97.704240000000013</v>
      </c>
      <c r="F131" s="112"/>
      <c r="G131" s="42"/>
      <c r="H131" s="42"/>
      <c r="I131" s="42"/>
      <c r="J131" s="42"/>
    </row>
    <row r="132" spans="1:10">
      <c r="A132" s="40"/>
      <c r="B132" s="36"/>
      <c r="C132" s="59"/>
      <c r="D132" s="83"/>
      <c r="E132" s="39"/>
      <c r="F132" s="40"/>
    </row>
    <row r="133" spans="1:10" ht="28.5" customHeight="1">
      <c r="A133" s="176" t="s">
        <v>256</v>
      </c>
      <c r="B133" s="176"/>
      <c r="C133" s="176"/>
      <c r="D133" s="176"/>
      <c r="E133" s="176"/>
      <c r="F133" s="176"/>
    </row>
    <row r="134" spans="1:10">
      <c r="A134" s="175" t="s">
        <v>302</v>
      </c>
      <c r="B134" s="175"/>
      <c r="C134" s="175"/>
      <c r="D134" s="175"/>
      <c r="E134" s="175"/>
      <c r="F134" s="175"/>
    </row>
    <row r="135" spans="1:10">
      <c r="A135" s="175"/>
      <c r="B135" s="175"/>
      <c r="C135" s="175"/>
      <c r="D135" s="175"/>
      <c r="E135" s="175"/>
      <c r="F135" s="175"/>
    </row>
    <row r="136" spans="1:10">
      <c r="E136" s="77"/>
    </row>
    <row r="137" spans="1:10">
      <c r="A137" s="32" t="s">
        <v>44</v>
      </c>
      <c r="B137" s="33"/>
      <c r="C137" s="33"/>
      <c r="D137" s="33"/>
      <c r="E137" s="67"/>
      <c r="F137" s="35"/>
      <c r="G137" s="42"/>
    </row>
    <row r="138" spans="1:10">
      <c r="A138" s="40"/>
      <c r="B138" s="40" t="s">
        <v>251</v>
      </c>
      <c r="C138" s="59" t="s">
        <v>298</v>
      </c>
      <c r="D138" s="40"/>
      <c r="E138" s="138">
        <v>2715.529</v>
      </c>
      <c r="F138" s="43" t="s">
        <v>39</v>
      </c>
    </row>
    <row r="139" spans="1:10">
      <c r="A139" s="40"/>
      <c r="B139" s="76" t="s">
        <v>303</v>
      </c>
      <c r="C139" s="59" t="s">
        <v>298</v>
      </c>
      <c r="D139" s="40"/>
      <c r="E139" s="139">
        <f>60345091/10^6</f>
        <v>60.345090999999996</v>
      </c>
      <c r="F139" s="43"/>
    </row>
    <row r="140" spans="1:10">
      <c r="A140" s="40"/>
      <c r="B140" s="76"/>
      <c r="C140" s="59"/>
      <c r="D140" s="40"/>
      <c r="E140" s="140">
        <v>0</v>
      </c>
      <c r="F140" s="43"/>
    </row>
    <row r="141" spans="1:10">
      <c r="A141" s="40"/>
      <c r="B141" s="36" t="s">
        <v>252</v>
      </c>
      <c r="C141" s="40"/>
      <c r="D141" s="40"/>
      <c r="E141" s="84">
        <f>SUM(E138:E140)</f>
        <v>2775.8740910000001</v>
      </c>
      <c r="F141" s="43" t="s">
        <v>39</v>
      </c>
    </row>
    <row r="142" spans="1:10">
      <c r="A142" s="40"/>
      <c r="B142" s="40"/>
      <c r="C142" s="40"/>
      <c r="D142" s="60"/>
      <c r="E142" s="40"/>
      <c r="F142" s="40"/>
    </row>
    <row r="143" spans="1:10" ht="27" customHeight="1">
      <c r="A143" s="183"/>
      <c r="B143" s="183"/>
      <c r="C143" s="183"/>
      <c r="D143" s="183"/>
      <c r="E143" s="183"/>
      <c r="F143" s="183"/>
    </row>
    <row r="144" spans="1:10">
      <c r="E144" s="77"/>
    </row>
    <row r="145" spans="1:7">
      <c r="A145" s="32" t="s">
        <v>29</v>
      </c>
      <c r="B145" s="33"/>
      <c r="C145" s="33"/>
      <c r="D145" s="33"/>
      <c r="E145" s="85"/>
      <c r="F145" s="35"/>
      <c r="G145" s="42"/>
    </row>
    <row r="146" spans="1:7">
      <c r="A146" s="40"/>
      <c r="B146" s="36" t="s">
        <v>71</v>
      </c>
      <c r="C146" s="59" t="s">
        <v>298</v>
      </c>
      <c r="D146" s="86"/>
      <c r="E146" s="161">
        <f>E153</f>
        <v>7114.54</v>
      </c>
      <c r="F146" s="43" t="s">
        <v>20</v>
      </c>
    </row>
    <row r="147" spans="1:7">
      <c r="A147" s="40"/>
      <c r="B147" s="36"/>
      <c r="C147" s="59"/>
      <c r="D147" s="86"/>
      <c r="E147" s="87"/>
      <c r="F147" s="43"/>
    </row>
    <row r="148" spans="1:7">
      <c r="A148" s="40"/>
      <c r="B148" s="40" t="s">
        <v>276</v>
      </c>
      <c r="C148" s="59" t="s">
        <v>298</v>
      </c>
      <c r="D148" s="159"/>
      <c r="E148" s="141">
        <f>(1831186+1811894)/1000</f>
        <v>3643.08</v>
      </c>
      <c r="F148" s="43" t="s">
        <v>20</v>
      </c>
    </row>
    <row r="149" spans="1:7">
      <c r="A149" s="40"/>
      <c r="B149" s="40" t="s">
        <v>257</v>
      </c>
      <c r="C149" s="59" t="s">
        <v>298</v>
      </c>
      <c r="D149" s="159"/>
      <c r="E149" s="142">
        <f>2530048/1000</f>
        <v>2530.0479999999998</v>
      </c>
      <c r="F149" s="43"/>
    </row>
    <row r="150" spans="1:7">
      <c r="A150" s="40"/>
      <c r="B150" s="40" t="s">
        <v>277</v>
      </c>
      <c r="C150" s="59" t="s">
        <v>298</v>
      </c>
      <c r="D150" s="159"/>
      <c r="E150" s="142">
        <f>941412/1000</f>
        <v>941.41200000000003</v>
      </c>
      <c r="F150" s="43" t="s">
        <v>20</v>
      </c>
    </row>
    <row r="151" spans="1:7">
      <c r="A151" s="40"/>
      <c r="B151" s="40"/>
      <c r="C151" s="59" t="s">
        <v>298</v>
      </c>
      <c r="D151" s="159"/>
      <c r="E151" s="142"/>
      <c r="F151" s="43" t="s">
        <v>20</v>
      </c>
    </row>
    <row r="152" spans="1:7">
      <c r="A152" s="40"/>
      <c r="B152" s="40"/>
      <c r="C152" s="59" t="s">
        <v>298</v>
      </c>
      <c r="D152" s="159"/>
      <c r="E152" s="143"/>
      <c r="F152" s="43" t="s">
        <v>20</v>
      </c>
    </row>
    <row r="153" spans="1:7">
      <c r="A153" s="40"/>
      <c r="B153" s="157" t="s">
        <v>240</v>
      </c>
      <c r="C153" s="59"/>
      <c r="D153" s="86"/>
      <c r="E153" s="90">
        <f>SUM(E148:E152)</f>
        <v>7114.54</v>
      </c>
      <c r="F153" s="43" t="s">
        <v>20</v>
      </c>
    </row>
    <row r="154" spans="1:7">
      <c r="A154" s="40"/>
      <c r="B154" s="40" t="s">
        <v>266</v>
      </c>
      <c r="C154" s="59"/>
      <c r="D154" s="86"/>
      <c r="E154" s="158">
        <f>(200579+46685)/1000</f>
        <v>247.26400000000001</v>
      </c>
      <c r="F154" s="43"/>
    </row>
    <row r="155" spans="1:7">
      <c r="A155" s="40"/>
      <c r="B155" s="36"/>
      <c r="C155" s="59"/>
      <c r="D155" s="86"/>
      <c r="E155" s="156"/>
      <c r="F155" s="43"/>
    </row>
    <row r="156" spans="1:7">
      <c r="A156" s="40"/>
      <c r="B156" s="40"/>
      <c r="C156" s="40"/>
      <c r="D156" s="40"/>
      <c r="E156" s="87"/>
      <c r="F156" s="43"/>
    </row>
    <row r="157" spans="1:7">
      <c r="A157" s="40"/>
      <c r="B157" s="144" t="s">
        <v>254</v>
      </c>
      <c r="C157" s="145" t="s">
        <v>258</v>
      </c>
      <c r="D157" s="146" t="s">
        <v>278</v>
      </c>
      <c r="E157" s="146" t="s">
        <v>70</v>
      </c>
      <c r="F157" s="43"/>
    </row>
    <row r="158" spans="1:7">
      <c r="A158" s="40"/>
      <c r="B158" s="91"/>
      <c r="C158" s="142"/>
      <c r="D158" s="142"/>
      <c r="E158" s="88"/>
      <c r="F158" s="43" t="s">
        <v>20</v>
      </c>
      <c r="G158" s="115"/>
    </row>
    <row r="159" spans="1:7">
      <c r="A159" s="40"/>
      <c r="B159" s="91">
        <v>2022</v>
      </c>
      <c r="C159" s="142">
        <v>42.254163380326197</v>
      </c>
      <c r="D159" s="142">
        <v>0</v>
      </c>
      <c r="E159" s="88">
        <f t="shared" ref="E159:E165" si="6">SUM(C159:D159)</f>
        <v>42.254163380326197</v>
      </c>
      <c r="F159" s="43" t="s">
        <v>20</v>
      </c>
      <c r="G159" s="115"/>
    </row>
    <row r="160" spans="1:7">
      <c r="A160" s="40"/>
      <c r="B160" s="91">
        <v>2023</v>
      </c>
      <c r="C160" s="142">
        <v>55.219615404052647</v>
      </c>
      <c r="D160" s="142">
        <v>0</v>
      </c>
      <c r="E160" s="88">
        <f t="shared" si="6"/>
        <v>55.219615404052647</v>
      </c>
      <c r="F160" s="43" t="s">
        <v>20</v>
      </c>
      <c r="G160" s="115"/>
    </row>
    <row r="161" spans="1:7">
      <c r="A161" s="40"/>
      <c r="B161" s="91">
        <v>2024</v>
      </c>
      <c r="C161" s="142">
        <v>59.089172518040229</v>
      </c>
      <c r="D161" s="142">
        <v>0</v>
      </c>
      <c r="E161" s="88">
        <f t="shared" si="6"/>
        <v>59.089172518040229</v>
      </c>
      <c r="F161" s="43" t="s">
        <v>20</v>
      </c>
      <c r="G161" s="115"/>
    </row>
    <row r="162" spans="1:7">
      <c r="A162" s="40"/>
      <c r="B162" s="91">
        <v>2025</v>
      </c>
      <c r="C162" s="142">
        <v>2606.0359364795399</v>
      </c>
      <c r="D162" s="142">
        <v>1836.5</v>
      </c>
      <c r="E162" s="88">
        <f t="shared" si="6"/>
        <v>4442.5359364795404</v>
      </c>
      <c r="F162" s="43" t="s">
        <v>20</v>
      </c>
      <c r="G162" s="115"/>
    </row>
    <row r="163" spans="1:7">
      <c r="A163" s="40"/>
      <c r="B163" s="91" t="s">
        <v>313</v>
      </c>
      <c r="C163" s="142">
        <v>764.02214150900738</v>
      </c>
      <c r="D163" s="142">
        <v>1836.5</v>
      </c>
      <c r="E163" s="88">
        <f t="shared" si="6"/>
        <v>2600.5221415090073</v>
      </c>
      <c r="F163" s="43" t="s">
        <v>20</v>
      </c>
      <c r="G163" s="115"/>
    </row>
    <row r="164" spans="1:7">
      <c r="A164" s="40"/>
      <c r="B164" s="91"/>
      <c r="C164" s="142"/>
      <c r="D164" s="142"/>
      <c r="E164" s="88">
        <f t="shared" si="6"/>
        <v>0</v>
      </c>
      <c r="F164" s="43" t="s">
        <v>20</v>
      </c>
      <c r="G164" s="115"/>
    </row>
    <row r="165" spans="1:7">
      <c r="A165" s="40"/>
      <c r="B165" s="91"/>
      <c r="C165" s="142"/>
      <c r="D165" s="142"/>
      <c r="E165" s="88">
        <f t="shared" si="6"/>
        <v>0</v>
      </c>
      <c r="F165" s="43" t="s">
        <v>20</v>
      </c>
      <c r="G165" s="115"/>
    </row>
    <row r="166" spans="1:7">
      <c r="A166" s="40"/>
      <c r="B166" s="91"/>
      <c r="C166" s="88"/>
      <c r="D166" s="88"/>
      <c r="E166" s="88"/>
      <c r="F166" s="43"/>
      <c r="G166" s="115"/>
    </row>
    <row r="167" spans="1:7">
      <c r="A167" s="40"/>
      <c r="B167" s="91"/>
      <c r="C167" s="88"/>
      <c r="D167" s="88"/>
      <c r="E167" s="88"/>
      <c r="F167" s="43"/>
      <c r="G167" s="115"/>
    </row>
    <row r="168" spans="1:7">
      <c r="A168" s="40"/>
      <c r="B168" s="91"/>
      <c r="C168" s="88"/>
      <c r="D168" s="88"/>
      <c r="E168" s="88"/>
      <c r="F168" s="43"/>
      <c r="G168" s="115"/>
    </row>
    <row r="169" spans="1:7">
      <c r="A169" s="40"/>
      <c r="B169" s="91"/>
      <c r="C169" s="88"/>
      <c r="D169" s="88"/>
      <c r="E169" s="88"/>
      <c r="F169" s="43"/>
    </row>
    <row r="170" spans="1:7">
      <c r="A170" s="40"/>
      <c r="B170" s="91"/>
      <c r="C170" s="88"/>
      <c r="D170" s="88"/>
      <c r="E170" s="88"/>
      <c r="F170" s="43"/>
    </row>
    <row r="171" spans="1:7">
      <c r="A171" s="40"/>
      <c r="B171" s="91"/>
      <c r="C171" s="88"/>
      <c r="D171" s="88"/>
      <c r="E171" s="88"/>
      <c r="F171" s="43"/>
    </row>
    <row r="172" spans="1:7">
      <c r="A172" s="40"/>
      <c r="B172" s="91"/>
      <c r="C172" s="88"/>
      <c r="D172" s="88"/>
      <c r="E172" s="88"/>
      <c r="F172" s="43"/>
    </row>
    <row r="173" spans="1:7">
      <c r="A173" s="40"/>
      <c r="B173" s="92"/>
      <c r="C173" s="121"/>
      <c r="D173" s="89"/>
      <c r="E173" s="89"/>
      <c r="F173" s="43"/>
    </row>
    <row r="174" spans="1:7">
      <c r="A174" s="40"/>
      <c r="B174" s="36" t="s">
        <v>30</v>
      </c>
      <c r="C174" s="90">
        <f>SUM(C158:C173)</f>
        <v>3526.6210292909664</v>
      </c>
      <c r="D174" s="90">
        <f>SUM(D158:D173)</f>
        <v>3673</v>
      </c>
      <c r="E174" s="90">
        <f>SUM(E158:E172)</f>
        <v>7199.6210292909664</v>
      </c>
      <c r="F174" s="43" t="s">
        <v>20</v>
      </c>
    </row>
    <row r="175" spans="1:7">
      <c r="A175" s="40"/>
      <c r="B175" s="36"/>
      <c r="C175" s="87"/>
      <c r="D175" s="87"/>
      <c r="E175" s="87"/>
      <c r="F175" s="43"/>
    </row>
    <row r="176" spans="1:7">
      <c r="A176" s="174" t="s">
        <v>255</v>
      </c>
      <c r="B176" s="174"/>
      <c r="C176" s="174"/>
      <c r="D176" s="174"/>
      <c r="E176" s="174"/>
      <c r="F176" s="174"/>
    </row>
    <row r="177" spans="1:7">
      <c r="A177" s="174" t="s">
        <v>274</v>
      </c>
      <c r="B177" s="174"/>
      <c r="C177" s="174"/>
      <c r="D177" s="174"/>
      <c r="E177" s="174"/>
      <c r="F177" s="174"/>
    </row>
    <row r="178" spans="1:7">
      <c r="E178" s="66"/>
    </row>
    <row r="179" spans="1:7">
      <c r="A179" s="32" t="s">
        <v>13</v>
      </c>
      <c r="B179" s="33"/>
      <c r="C179" s="33"/>
      <c r="D179" s="33"/>
      <c r="E179" s="67"/>
      <c r="F179" s="35"/>
      <c r="G179" s="42"/>
    </row>
    <row r="180" spans="1:7">
      <c r="A180" s="70" t="s">
        <v>73</v>
      </c>
      <c r="B180" s="36" t="s">
        <v>48</v>
      </c>
      <c r="C180" s="59" t="s">
        <v>298</v>
      </c>
      <c r="D180" s="93"/>
      <c r="E180" s="80">
        <f>+E146</f>
        <v>7114.54</v>
      </c>
      <c r="F180" s="43" t="s">
        <v>20</v>
      </c>
    </row>
    <row r="181" spans="1:7">
      <c r="A181" s="40"/>
      <c r="B181" s="94" t="s">
        <v>14</v>
      </c>
      <c r="C181" s="59" t="s">
        <v>45</v>
      </c>
      <c r="D181" s="40"/>
      <c r="E181" s="173">
        <v>0.99252965281406802</v>
      </c>
      <c r="F181" s="43" t="s">
        <v>7</v>
      </c>
    </row>
    <row r="182" spans="1:7">
      <c r="A182" s="40"/>
      <c r="B182" s="94" t="s">
        <v>15</v>
      </c>
      <c r="C182" s="59" t="s">
        <v>45</v>
      </c>
      <c r="D182" s="40"/>
      <c r="E182" s="173">
        <f>1-E181</f>
        <v>7.4703471859319803E-3</v>
      </c>
      <c r="F182" s="43" t="s">
        <v>7</v>
      </c>
    </row>
    <row r="183" spans="1:7">
      <c r="A183" s="40"/>
      <c r="B183" s="40"/>
      <c r="C183" s="40"/>
      <c r="D183" s="40"/>
      <c r="E183" s="80"/>
      <c r="F183" s="43"/>
    </row>
    <row r="184" spans="1:7">
      <c r="A184" s="40"/>
      <c r="B184" s="36" t="s">
        <v>221</v>
      </c>
      <c r="C184" s="40"/>
      <c r="D184" s="40"/>
      <c r="E184" s="173">
        <v>3.5000000000000003E-2</v>
      </c>
      <c r="F184" s="43"/>
    </row>
    <row r="185" spans="1:7">
      <c r="A185" s="40"/>
      <c r="B185" s="36" t="s">
        <v>236</v>
      </c>
      <c r="C185" s="59"/>
      <c r="D185" s="40"/>
      <c r="E185" s="80">
        <f>+E184*E180</f>
        <v>249.00890000000001</v>
      </c>
      <c r="F185" s="43" t="s">
        <v>20</v>
      </c>
    </row>
    <row r="186" spans="1:7">
      <c r="A186" s="40"/>
      <c r="B186" s="40"/>
      <c r="C186" s="40"/>
      <c r="D186" s="40"/>
      <c r="E186" s="80"/>
      <c r="F186" s="43"/>
    </row>
    <row r="187" spans="1:7">
      <c r="A187" s="70" t="s">
        <v>72</v>
      </c>
      <c r="B187" s="36" t="s">
        <v>264</v>
      </c>
      <c r="C187" s="40"/>
      <c r="D187" s="40"/>
      <c r="E187" s="148">
        <v>20</v>
      </c>
      <c r="F187" s="43" t="s">
        <v>20</v>
      </c>
    </row>
    <row r="188" spans="1:7">
      <c r="A188" s="70"/>
      <c r="B188" s="36"/>
      <c r="C188" s="40"/>
      <c r="D188" s="40"/>
      <c r="E188" s="148"/>
      <c r="F188" s="43"/>
    </row>
    <row r="189" spans="1:7">
      <c r="A189" s="70" t="s">
        <v>267</v>
      </c>
      <c r="B189" s="36" t="s">
        <v>268</v>
      </c>
      <c r="C189" s="40"/>
      <c r="D189" s="40"/>
      <c r="E189" s="148">
        <v>14</v>
      </c>
      <c r="F189" s="43" t="s">
        <v>20</v>
      </c>
    </row>
    <row r="190" spans="1:7">
      <c r="A190" s="40"/>
      <c r="B190" s="36"/>
      <c r="C190" s="40"/>
      <c r="D190" s="40"/>
      <c r="E190" s="80"/>
      <c r="F190" s="43"/>
    </row>
    <row r="191" spans="1:7">
      <c r="A191" s="40"/>
      <c r="B191" s="36" t="s">
        <v>47</v>
      </c>
      <c r="C191" s="40"/>
      <c r="D191" s="40"/>
      <c r="E191" s="95">
        <f>+E187+E185+E189</f>
        <v>283.00890000000004</v>
      </c>
      <c r="F191" s="43"/>
    </row>
    <row r="192" spans="1:7">
      <c r="A192" s="40"/>
      <c r="B192" s="40"/>
      <c r="C192" s="40"/>
      <c r="D192" s="40"/>
      <c r="E192" s="80"/>
      <c r="F192" s="43"/>
    </row>
    <row r="193" spans="1:7">
      <c r="A193" s="174" t="s">
        <v>253</v>
      </c>
      <c r="B193" s="174"/>
      <c r="C193" s="174"/>
      <c r="D193" s="174"/>
      <c r="E193" s="174"/>
      <c r="F193" s="174"/>
    </row>
    <row r="194" spans="1:7">
      <c r="E194" s="77"/>
    </row>
    <row r="195" spans="1:7">
      <c r="A195" s="32" t="s">
        <v>26</v>
      </c>
      <c r="B195" s="33"/>
      <c r="C195" s="33"/>
      <c r="D195" s="33"/>
      <c r="E195" s="96"/>
      <c r="F195" s="35"/>
      <c r="G195" s="42"/>
    </row>
    <row r="196" spans="1:7">
      <c r="A196" s="40"/>
      <c r="B196" s="36" t="s">
        <v>81</v>
      </c>
      <c r="C196" s="59" t="s">
        <v>298</v>
      </c>
      <c r="D196" s="93"/>
      <c r="E196" s="148">
        <f>188379/1000</f>
        <v>188.37899999999999</v>
      </c>
      <c r="F196" s="43" t="s">
        <v>20</v>
      </c>
    </row>
    <row r="197" spans="1:7">
      <c r="A197" s="40"/>
      <c r="B197" s="36" t="s">
        <v>24</v>
      </c>
      <c r="C197" s="59" t="s">
        <v>298</v>
      </c>
      <c r="D197" s="93"/>
      <c r="E197" s="148">
        <f>4812.702+E196</f>
        <v>5001.0810000000001</v>
      </c>
      <c r="F197" s="43" t="s">
        <v>20</v>
      </c>
    </row>
    <row r="198" spans="1:7">
      <c r="A198" s="40"/>
      <c r="B198" s="40"/>
      <c r="C198" s="40"/>
      <c r="D198" s="40"/>
      <c r="E198" s="80"/>
      <c r="F198" s="43"/>
    </row>
    <row r="199" spans="1:7">
      <c r="A199" s="40"/>
      <c r="B199" s="40" t="s">
        <v>25</v>
      </c>
      <c r="C199" s="40"/>
      <c r="D199" s="40"/>
      <c r="E199" s="97">
        <f>E196/E197</f>
        <v>3.766765625271816E-2</v>
      </c>
      <c r="F199" s="43" t="s">
        <v>7</v>
      </c>
      <c r="G199" s="69"/>
    </row>
    <row r="200" spans="1:7">
      <c r="A200" s="40"/>
      <c r="B200" s="40" t="s">
        <v>27</v>
      </c>
      <c r="C200" s="40"/>
      <c r="D200" s="40"/>
      <c r="E200" s="98">
        <f>1/E199</f>
        <v>26.547975092765117</v>
      </c>
      <c r="F200" s="43" t="s">
        <v>28</v>
      </c>
      <c r="G200" s="69"/>
    </row>
    <row r="201" spans="1:7">
      <c r="A201" s="40"/>
      <c r="B201" s="40"/>
      <c r="C201" s="40"/>
      <c r="D201" s="40"/>
      <c r="E201" s="98"/>
      <c r="F201" s="43"/>
      <c r="G201" s="69"/>
    </row>
    <row r="202" spans="1:7">
      <c r="A202" s="40"/>
      <c r="B202" s="36" t="s">
        <v>269</v>
      </c>
      <c r="C202" s="59" t="s">
        <v>298</v>
      </c>
      <c r="D202" s="93"/>
      <c r="E202" s="148">
        <f>23408/1000</f>
        <v>23.408000000000001</v>
      </c>
      <c r="F202" s="43" t="s">
        <v>20</v>
      </c>
      <c r="G202" s="69"/>
    </row>
    <row r="203" spans="1:7">
      <c r="A203" s="40"/>
      <c r="B203" s="36" t="s">
        <v>270</v>
      </c>
      <c r="C203" s="59" t="s">
        <v>298</v>
      </c>
      <c r="D203" s="93"/>
      <c r="E203" s="148">
        <f>210.331+E202</f>
        <v>233.73899999999998</v>
      </c>
      <c r="F203" s="43" t="s">
        <v>20</v>
      </c>
      <c r="G203" s="69"/>
    </row>
    <row r="204" spans="1:7">
      <c r="A204" s="40"/>
      <c r="B204" s="36"/>
      <c r="C204" s="59"/>
      <c r="D204" s="93"/>
      <c r="E204" s="148"/>
      <c r="F204" s="43"/>
      <c r="G204" s="69"/>
    </row>
    <row r="205" spans="1:7">
      <c r="A205" s="40"/>
      <c r="B205" s="36" t="s">
        <v>282</v>
      </c>
      <c r="C205" s="59" t="s">
        <v>298</v>
      </c>
      <c r="D205" s="93"/>
      <c r="E205" s="148">
        <f>61.385</f>
        <v>61.384999999999998</v>
      </c>
      <c r="F205" s="43" t="s">
        <v>20</v>
      </c>
      <c r="G205" s="69"/>
    </row>
    <row r="206" spans="1:7">
      <c r="A206" s="40"/>
      <c r="B206" s="36" t="s">
        <v>283</v>
      </c>
      <c r="C206" s="59" t="s">
        <v>298</v>
      </c>
      <c r="D206" s="153"/>
      <c r="E206" s="148">
        <f>(2252681+1745422)/1000</f>
        <v>3998.1030000000001</v>
      </c>
      <c r="F206" s="43" t="s">
        <v>20</v>
      </c>
    </row>
    <row r="207" spans="1:7" ht="28.5" customHeight="1">
      <c r="A207" s="180" t="s">
        <v>286</v>
      </c>
      <c r="B207" s="180"/>
      <c r="C207" s="180"/>
      <c r="D207" s="180"/>
      <c r="E207" s="180"/>
      <c r="F207" s="180"/>
    </row>
    <row r="208" spans="1:7"/>
    <row r="209" spans="1:10">
      <c r="A209" s="32" t="s">
        <v>105</v>
      </c>
      <c r="B209" s="33"/>
      <c r="C209" s="33"/>
      <c r="D209" s="33"/>
      <c r="E209" s="96"/>
      <c r="F209" s="35"/>
      <c r="G209" s="42"/>
      <c r="J209" s="99"/>
    </row>
    <row r="210" spans="1:10">
      <c r="A210" s="40"/>
      <c r="B210" s="40"/>
      <c r="C210" s="59"/>
      <c r="D210" s="93"/>
      <c r="E210" s="100"/>
      <c r="F210" s="43"/>
    </row>
    <row r="211" spans="1:10">
      <c r="A211" s="40"/>
      <c r="B211" s="36" t="s">
        <v>177</v>
      </c>
      <c r="C211" s="59"/>
      <c r="D211" s="101" t="s">
        <v>205</v>
      </c>
      <c r="E211" s="148">
        <v>-100</v>
      </c>
      <c r="F211" s="43" t="s">
        <v>20</v>
      </c>
    </row>
    <row r="212" spans="1:10">
      <c r="A212" s="40"/>
      <c r="B212" s="36" t="s">
        <v>112</v>
      </c>
      <c r="C212" s="59"/>
      <c r="D212" s="93"/>
      <c r="E212" s="148">
        <f>3012278/1000</f>
        <v>3012.2779999999998</v>
      </c>
      <c r="F212" s="43" t="s">
        <v>20</v>
      </c>
    </row>
    <row r="213" spans="1:10">
      <c r="A213" s="40"/>
      <c r="B213" s="40"/>
      <c r="C213" s="59"/>
      <c r="D213" s="93"/>
      <c r="E213" s="100"/>
      <c r="F213" s="43"/>
    </row>
    <row r="214" spans="1:10" ht="18.75" customHeight="1">
      <c r="A214" s="174" t="s">
        <v>209</v>
      </c>
      <c r="B214" s="174"/>
      <c r="C214" s="174"/>
      <c r="D214" s="174"/>
      <c r="E214" s="174"/>
      <c r="F214" s="174"/>
    </row>
    <row r="215" spans="1:10" ht="56.25" customHeight="1">
      <c r="A215" s="180" t="s">
        <v>265</v>
      </c>
      <c r="B215" s="180"/>
      <c r="C215" s="180"/>
      <c r="D215" s="180"/>
      <c r="E215" s="180"/>
      <c r="F215" s="180"/>
    </row>
    <row r="216" spans="1:10">
      <c r="A216" s="104"/>
      <c r="B216" s="104"/>
      <c r="C216" s="104"/>
      <c r="D216" s="104"/>
      <c r="E216" s="104"/>
      <c r="F216" s="104"/>
    </row>
    <row r="217" spans="1:10" ht="28.5" customHeight="1">
      <c r="A217" s="167"/>
      <c r="B217" s="167"/>
      <c r="C217" s="167"/>
      <c r="D217" s="167"/>
      <c r="E217" s="167"/>
      <c r="F217" s="167"/>
    </row>
    <row r="218" spans="1:10"/>
    <row r="219" spans="1:10">
      <c r="A219" s="32" t="s">
        <v>178</v>
      </c>
      <c r="B219" s="33"/>
      <c r="C219" s="33"/>
      <c r="D219" s="33"/>
      <c r="E219" s="96"/>
      <c r="F219" s="35"/>
      <c r="G219" s="42"/>
    </row>
    <row r="220" spans="1:10">
      <c r="A220" s="40"/>
      <c r="B220" s="40" t="s">
        <v>52</v>
      </c>
      <c r="C220" s="93" t="s">
        <v>74</v>
      </c>
      <c r="D220" s="93"/>
      <c r="E220" s="138">
        <v>3189.9999999999991</v>
      </c>
      <c r="F220" s="43" t="s">
        <v>8</v>
      </c>
    </row>
    <row r="221" spans="1:10">
      <c r="A221" s="40"/>
      <c r="B221" s="40" t="s">
        <v>49</v>
      </c>
      <c r="C221" s="93" t="s">
        <v>75</v>
      </c>
      <c r="D221" s="93"/>
      <c r="E221" s="149">
        <v>30000000</v>
      </c>
      <c r="F221" s="43" t="s">
        <v>50</v>
      </c>
    </row>
    <row r="222" spans="1:10">
      <c r="A222" s="40"/>
      <c r="B222" s="40" t="s">
        <v>53</v>
      </c>
      <c r="C222" s="93" t="s">
        <v>237</v>
      </c>
      <c r="D222" s="93"/>
      <c r="E222" s="147">
        <v>12700</v>
      </c>
      <c r="F222" s="43" t="s">
        <v>62</v>
      </c>
    </row>
    <row r="223" spans="1:10">
      <c r="A223" s="40"/>
      <c r="B223" s="40"/>
      <c r="C223" s="40"/>
      <c r="D223" s="40"/>
      <c r="E223" s="80"/>
      <c r="F223" s="43"/>
    </row>
    <row r="224" spans="1:10">
      <c r="A224" s="40"/>
      <c r="B224" s="36" t="s">
        <v>54</v>
      </c>
      <c r="C224" s="40"/>
      <c r="D224" s="40"/>
      <c r="E224" s="80">
        <f>((E220*10000)+(E221)+(E222*3000))/10^6</f>
        <v>100</v>
      </c>
      <c r="F224" s="43" t="s">
        <v>51</v>
      </c>
    </row>
    <row r="225" spans="1:7">
      <c r="A225" s="40"/>
      <c r="B225" s="36" t="s">
        <v>55</v>
      </c>
      <c r="C225" s="40"/>
      <c r="D225" s="40"/>
      <c r="E225" s="80">
        <f>+E224/10000*1000000</f>
        <v>10000</v>
      </c>
      <c r="F225" s="43" t="s">
        <v>8</v>
      </c>
    </row>
    <row r="226" spans="1:7">
      <c r="A226" s="40"/>
      <c r="B226" s="40"/>
      <c r="C226" s="40"/>
      <c r="D226" s="40"/>
      <c r="E226" s="102"/>
      <c r="F226" s="43"/>
    </row>
    <row r="227" spans="1:7" ht="26.25" customHeight="1">
      <c r="A227" s="176" t="s">
        <v>76</v>
      </c>
      <c r="B227" s="176"/>
      <c r="C227" s="176"/>
      <c r="D227" s="176"/>
      <c r="E227" s="176"/>
      <c r="F227" s="176"/>
    </row>
    <row r="228" spans="1:7">
      <c r="A228" s="78" t="s">
        <v>238</v>
      </c>
      <c r="B228" s="78"/>
      <c r="C228" s="103"/>
      <c r="D228" s="103"/>
      <c r="E228" s="80"/>
      <c r="F228" s="43"/>
    </row>
    <row r="229" spans="1:7" ht="18" customHeight="1">
      <c r="A229" s="182" t="s">
        <v>304</v>
      </c>
      <c r="B229" s="182"/>
      <c r="C229" s="182"/>
      <c r="D229" s="182"/>
      <c r="E229" s="182"/>
      <c r="F229" s="182"/>
    </row>
    <row r="230" spans="1:7">
      <c r="E230" s="77"/>
    </row>
    <row r="231" spans="1:7">
      <c r="A231" s="32" t="s">
        <v>61</v>
      </c>
      <c r="B231" s="33"/>
      <c r="C231" s="33"/>
      <c r="D231" s="33"/>
      <c r="E231" s="96"/>
      <c r="F231" s="35"/>
      <c r="G231" s="42"/>
    </row>
    <row r="232" spans="1:7">
      <c r="A232" s="40"/>
      <c r="B232" s="40" t="s">
        <v>21</v>
      </c>
      <c r="C232" s="59" t="s">
        <v>305</v>
      </c>
      <c r="D232" s="40"/>
      <c r="E232" s="138">
        <v>150</v>
      </c>
      <c r="F232" s="43" t="s">
        <v>22</v>
      </c>
    </row>
    <row r="233" spans="1:7">
      <c r="A233" s="40"/>
      <c r="B233" s="40" t="s">
        <v>23</v>
      </c>
      <c r="C233" s="59" t="s">
        <v>305</v>
      </c>
      <c r="D233" s="40"/>
      <c r="E233" s="147">
        <v>110</v>
      </c>
      <c r="F233" s="43" t="s">
        <v>22</v>
      </c>
    </row>
    <row r="234" spans="1:7">
      <c r="A234" s="40"/>
      <c r="B234" s="36" t="s">
        <v>56</v>
      </c>
      <c r="C234" s="40"/>
      <c r="D234" s="40"/>
      <c r="E234" s="80">
        <f>+E232-E233</f>
        <v>40</v>
      </c>
      <c r="F234" s="43" t="s">
        <v>22</v>
      </c>
    </row>
    <row r="1048561"/>
    <row r="1048563"/>
  </sheetData>
  <mergeCells count="24">
    <mergeCell ref="A229:F229"/>
    <mergeCell ref="A227:F227"/>
    <mergeCell ref="A215:F215"/>
    <mergeCell ref="A143:F143"/>
    <mergeCell ref="A214:F214"/>
    <mergeCell ref="A193:F193"/>
    <mergeCell ref="A177:F177"/>
    <mergeCell ref="A207:F207"/>
    <mergeCell ref="A176:F176"/>
    <mergeCell ref="B2:F2"/>
    <mergeCell ref="B3:F3"/>
    <mergeCell ref="B4:F4"/>
    <mergeCell ref="A45:F45"/>
    <mergeCell ref="A78:F78"/>
    <mergeCell ref="A98:F98"/>
    <mergeCell ref="A134:F135"/>
    <mergeCell ref="A118:F118"/>
    <mergeCell ref="C8:F8"/>
    <mergeCell ref="D24:E24"/>
    <mergeCell ref="B18:B24"/>
    <mergeCell ref="A44:F44"/>
    <mergeCell ref="A79:F79"/>
    <mergeCell ref="A133:F133"/>
    <mergeCell ref="A80:F80"/>
  </mergeCells>
  <printOptions horizontalCentered="1"/>
  <pageMargins left="0.7" right="0.7" top="0.37" bottom="0.2" header="0.3" footer="0.17"/>
  <pageSetup paperSize="9" scale="41" fitToHeight="2" orientation="portrait" r:id="rId1"/>
  <rowBreaks count="1" manualBreakCount="1">
    <brk id="136" max="5" man="1"/>
  </rowBreaks>
  <ignoredErrors>
    <ignoredError sqref="E161:E165 E42 C51 D131"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78"/>
  <sheetViews>
    <sheetView showGridLines="0" tabSelected="1" zoomScale="90" zoomScaleNormal="90" workbookViewId="0"/>
  </sheetViews>
  <sheetFormatPr defaultColWidth="0" defaultRowHeight="12.75" customHeight="1" zeroHeight="1"/>
  <cols>
    <col min="1" max="1" width="9.140625" customWidth="1"/>
    <col min="2" max="2" width="55.85546875" bestFit="1" customWidth="1"/>
    <col min="3" max="3" width="29.42578125" bestFit="1" customWidth="1"/>
    <col min="4" max="4" width="28.42578125" bestFit="1" customWidth="1"/>
    <col min="5" max="5" width="13.140625" bestFit="1" customWidth="1"/>
    <col min="6" max="6" width="17.85546875" bestFit="1" customWidth="1"/>
    <col min="7" max="7" width="19" hidden="1" customWidth="1"/>
    <col min="8" max="9" width="9.140625" hidden="1" customWidth="1"/>
    <col min="10" max="12" width="10.42578125" hidden="1" customWidth="1"/>
    <col min="13" max="16384" width="9.140625" hidden="1"/>
  </cols>
  <sheetData>
    <row r="1" spans="1:6" s="1" customFormat="1" ht="11.25">
      <c r="E1" s="10"/>
      <c r="F1" s="2"/>
    </row>
    <row r="2" spans="1:6" s="1" customFormat="1">
      <c r="B2" s="181" t="s">
        <v>18</v>
      </c>
      <c r="C2" s="181"/>
      <c r="D2" s="181"/>
      <c r="E2" s="181"/>
      <c r="F2" s="181"/>
    </row>
    <row r="3" spans="1:6" s="1" customFormat="1">
      <c r="B3" s="181" t="str">
        <f>Guide!B3</f>
        <v>ANALYST GUIDE v13.0</v>
      </c>
      <c r="C3" s="181"/>
      <c r="D3" s="181"/>
      <c r="E3" s="181"/>
      <c r="F3" s="181"/>
    </row>
    <row r="4" spans="1:6" s="1" customFormat="1" ht="28.5" customHeight="1">
      <c r="B4" s="181" t="str">
        <f>Guide!B4</f>
        <v>Last updated: 15 February 2022</v>
      </c>
      <c r="C4" s="181"/>
      <c r="D4" s="181"/>
      <c r="E4" s="181"/>
      <c r="F4" s="181"/>
    </row>
    <row r="5" spans="1:6" s="1" customFormat="1" ht="11.25">
      <c r="A5" s="9" t="s">
        <v>95</v>
      </c>
      <c r="B5" s="3"/>
      <c r="C5" s="3"/>
      <c r="D5" s="3"/>
      <c r="E5" s="4"/>
      <c r="F5" s="5"/>
    </row>
    <row r="6" spans="1:6" s="1" customFormat="1">
      <c r="A6" s="8"/>
      <c r="B6" s="8" t="s">
        <v>93</v>
      </c>
      <c r="C6" s="37" t="str">
        <f>Guide!C6</f>
        <v>12.0 / February 2021</v>
      </c>
      <c r="D6" s="38"/>
      <c r="E6" s="39"/>
      <c r="F6" s="38"/>
    </row>
    <row r="7" spans="1:6" s="1" customFormat="1">
      <c r="A7" s="8"/>
      <c r="B7" s="8" t="s">
        <v>179</v>
      </c>
      <c r="C7" s="37" t="str">
        <f>Guide!C7</f>
        <v>13.0 / February 2022</v>
      </c>
      <c r="D7" s="40"/>
      <c r="E7" s="39"/>
      <c r="F7" s="41"/>
    </row>
    <row r="8" spans="1:6" s="1" customFormat="1" ht="27.75" customHeight="1">
      <c r="A8" s="6"/>
      <c r="B8" s="36" t="s">
        <v>94</v>
      </c>
      <c r="C8" s="176" t="str">
        <f>Guide!C8</f>
        <v>1. Updated revenue split and margins for FY2021 results
2. Incorporated impact of IFRS 16 on finance cost and finance lease</v>
      </c>
      <c r="D8" s="177">
        <f>Guide!D8</f>
        <v>0</v>
      </c>
      <c r="E8" s="177">
        <f>Guide!E8</f>
        <v>0</v>
      </c>
      <c r="F8" s="177">
        <f>Guide!F8</f>
        <v>0</v>
      </c>
    </row>
    <row r="9" spans="1:6" ht="12.75" customHeight="1"/>
    <row r="10" spans="1:6">
      <c r="A10" s="25" t="s">
        <v>165</v>
      </c>
    </row>
    <row r="11" spans="1:6" ht="12.75" customHeight="1"/>
    <row r="12" spans="1:6">
      <c r="A12" s="9" t="s">
        <v>84</v>
      </c>
      <c r="B12" s="3"/>
      <c r="C12" s="3"/>
      <c r="D12" s="3"/>
      <c r="E12" s="7"/>
      <c r="F12" s="5"/>
    </row>
    <row r="13" spans="1:6" ht="12.75" customHeight="1"/>
    <row r="14" spans="1:6">
      <c r="B14" s="15" t="s">
        <v>86</v>
      </c>
      <c r="C14" s="15" t="s">
        <v>111</v>
      </c>
      <c r="D14" s="12"/>
      <c r="E14" s="27" t="s">
        <v>51</v>
      </c>
      <c r="F14" s="26" t="s">
        <v>207</v>
      </c>
    </row>
    <row r="15" spans="1:6">
      <c r="B15" s="16"/>
      <c r="F15" s="24"/>
    </row>
    <row r="16" spans="1:6">
      <c r="A16" s="114"/>
      <c r="B16" t="s">
        <v>34</v>
      </c>
      <c r="C16" s="17" t="s">
        <v>131</v>
      </c>
      <c r="D16" s="17"/>
      <c r="F16">
        <f>F49</f>
        <v>1053.1096357599999</v>
      </c>
    </row>
    <row r="17" spans="2:6">
      <c r="B17" t="s">
        <v>35</v>
      </c>
      <c r="C17" s="17" t="s">
        <v>131</v>
      </c>
      <c r="D17" s="17"/>
      <c r="F17">
        <f>F59</f>
        <v>771.65689999999995</v>
      </c>
    </row>
    <row r="18" spans="2:6">
      <c r="B18" s="19" t="s">
        <v>79</v>
      </c>
      <c r="C18" s="20"/>
      <c r="D18" s="20"/>
      <c r="E18" s="20"/>
      <c r="F18" s="19">
        <f>SUM(F16:F17)</f>
        <v>1824.7665357599999</v>
      </c>
    </row>
    <row r="19" spans="2:6">
      <c r="C19" s="17"/>
      <c r="D19" s="17"/>
      <c r="E19" s="17"/>
      <c r="F19" s="13"/>
    </row>
    <row r="20" spans="2:6">
      <c r="B20" t="s">
        <v>80</v>
      </c>
      <c r="C20" s="17" t="s">
        <v>98</v>
      </c>
      <c r="D20" s="17"/>
      <c r="E20" s="17"/>
      <c r="F20">
        <f>-F18*(1-Guide!$E$92%)-F21</f>
        <v>-791.83459466800014</v>
      </c>
    </row>
    <row r="21" spans="2:6">
      <c r="B21" t="s">
        <v>81</v>
      </c>
      <c r="C21" s="17" t="s">
        <v>141</v>
      </c>
      <c r="D21" s="17"/>
      <c r="E21" s="17"/>
      <c r="F21">
        <f>-Guide!$E$196-Guide!$E$202</f>
        <v>-211.78699999999998</v>
      </c>
    </row>
    <row r="22" spans="2:6">
      <c r="B22" s="19" t="s">
        <v>11</v>
      </c>
      <c r="C22" s="20"/>
      <c r="D22" s="20"/>
      <c r="E22" s="20"/>
      <c r="F22" s="19">
        <f>SUM(F20:F21)+F18</f>
        <v>821.14494109199973</v>
      </c>
    </row>
    <row r="23" spans="2:6">
      <c r="C23" s="17"/>
      <c r="D23" s="17"/>
      <c r="E23" s="17"/>
      <c r="F23" s="13"/>
    </row>
    <row r="24" spans="2:6">
      <c r="B24" t="s">
        <v>83</v>
      </c>
      <c r="C24" s="17" t="s">
        <v>98</v>
      </c>
      <c r="D24" s="17"/>
      <c r="E24" s="17"/>
      <c r="F24" s="14">
        <f>-(Guide!$E$92-Guide!$E$94)%*Indicative.model!F18</f>
        <v>-237.21964964879999</v>
      </c>
    </row>
    <row r="25" spans="2:6">
      <c r="B25" s="19" t="s">
        <v>12</v>
      </c>
      <c r="C25" s="20"/>
      <c r="D25" s="20"/>
      <c r="E25" s="20"/>
      <c r="F25" s="19">
        <f t="shared" ref="F25" si="0">F24+F22</f>
        <v>583.92529144319974</v>
      </c>
    </row>
    <row r="26" spans="2:6">
      <c r="C26" s="17"/>
      <c r="D26" s="17"/>
      <c r="E26" s="17"/>
      <c r="F26" s="13"/>
    </row>
    <row r="27" spans="2:6">
      <c r="B27" t="s">
        <v>13</v>
      </c>
      <c r="C27" s="17" t="s">
        <v>131</v>
      </c>
      <c r="D27" s="17"/>
      <c r="E27" s="17"/>
      <c r="F27">
        <f>-F73</f>
        <v>-283.00890000000004</v>
      </c>
    </row>
    <row r="28" spans="2:6">
      <c r="B28" t="s">
        <v>77</v>
      </c>
      <c r="C28" s="17" t="s">
        <v>141</v>
      </c>
      <c r="D28" s="17"/>
      <c r="E28" s="17"/>
      <c r="F28">
        <f>Guide!$F$129</f>
        <v>112.355</v>
      </c>
    </row>
    <row r="29" spans="2:6">
      <c r="B29" t="s">
        <v>260</v>
      </c>
      <c r="C29" s="17" t="s">
        <v>279</v>
      </c>
      <c r="D29" s="17"/>
      <c r="E29" s="17"/>
      <c r="F29" s="150">
        <f>79041/1000</f>
        <v>79.040999999999997</v>
      </c>
    </row>
    <row r="30" spans="2:6">
      <c r="B30" t="s">
        <v>85</v>
      </c>
      <c r="C30" s="17" t="s">
        <v>131</v>
      </c>
      <c r="D30" s="17"/>
      <c r="E30" s="17"/>
      <c r="F30">
        <f>F$83</f>
        <v>15</v>
      </c>
    </row>
    <row r="31" spans="2:6">
      <c r="B31" s="19" t="s">
        <v>82</v>
      </c>
      <c r="C31" s="19"/>
      <c r="D31" s="19"/>
      <c r="E31" s="19"/>
      <c r="F31" s="19">
        <f>SUM(F27:F30)+F25</f>
        <v>507.31239144319972</v>
      </c>
    </row>
    <row r="32" spans="2:6" ht="12.75" customHeight="1"/>
    <row r="33" spans="2:6">
      <c r="B33" s="19" t="s">
        <v>10</v>
      </c>
      <c r="C33" s="18" t="s">
        <v>98</v>
      </c>
      <c r="D33" s="20"/>
      <c r="E33" s="20"/>
      <c r="F33" s="19">
        <f>F18*Guide!$E$96%</f>
        <v>985.37392931040006</v>
      </c>
    </row>
    <row r="34" spans="2:6" ht="12.75" customHeight="1">
      <c r="F34" s="13"/>
    </row>
    <row r="35" spans="2:6">
      <c r="B35" s="15" t="s">
        <v>99</v>
      </c>
      <c r="C35" s="12"/>
      <c r="D35" s="12"/>
      <c r="E35" s="12"/>
      <c r="F35" s="12"/>
    </row>
    <row r="36" spans="2:6" ht="12.75" customHeight="1"/>
    <row r="37" spans="2:6">
      <c r="B37" s="16" t="s">
        <v>100</v>
      </c>
    </row>
    <row r="38" spans="2:6">
      <c r="B38" t="s">
        <v>66</v>
      </c>
      <c r="C38" t="s">
        <v>1</v>
      </c>
      <c r="F38">
        <f>Guide!E38</f>
        <v>1091.4582</v>
      </c>
    </row>
    <row r="39" spans="2:6">
      <c r="B39" t="s">
        <v>78</v>
      </c>
      <c r="C39" t="s">
        <v>1</v>
      </c>
      <c r="F39">
        <f>Guide!E39</f>
        <v>118.63800000000001</v>
      </c>
    </row>
    <row r="40" spans="2:6">
      <c r="B40" s="15" t="s">
        <v>60</v>
      </c>
      <c r="C40" s="15" t="s">
        <v>1</v>
      </c>
      <c r="D40" s="15"/>
      <c r="E40" s="15"/>
      <c r="F40" s="15">
        <f>SUM(F38:F39)</f>
        <v>1210.0962</v>
      </c>
    </row>
    <row r="41" spans="2:6" ht="12.75" customHeight="1"/>
    <row r="42" spans="2:6">
      <c r="B42" s="16" t="s">
        <v>101</v>
      </c>
    </row>
    <row r="43" spans="2:6">
      <c r="B43" t="s">
        <v>66</v>
      </c>
      <c r="C43" t="s">
        <v>1</v>
      </c>
      <c r="F43">
        <f>F38</f>
        <v>1091.4582</v>
      </c>
    </row>
    <row r="44" spans="2:6">
      <c r="B44" t="s">
        <v>224</v>
      </c>
      <c r="C44" t="s">
        <v>7</v>
      </c>
      <c r="F44" s="168">
        <v>-2.08</v>
      </c>
    </row>
    <row r="45" spans="2:6" ht="12.75" customHeight="1"/>
    <row r="46" spans="2:6">
      <c r="B46" t="s">
        <v>180</v>
      </c>
      <c r="C46" s="17" t="s">
        <v>306</v>
      </c>
      <c r="D46" s="17"/>
      <c r="F46">
        <f>Guide!E74*Guide!E67%</f>
        <v>1175.3330999999998</v>
      </c>
    </row>
    <row r="47" spans="2:6">
      <c r="B47" t="s">
        <v>87</v>
      </c>
      <c r="C47" s="17" t="s">
        <v>223</v>
      </c>
      <c r="D47" s="17"/>
      <c r="F47">
        <f>F46*F44%*50%</f>
        <v>-12.223464239999998</v>
      </c>
    </row>
    <row r="48" spans="2:6">
      <c r="B48" t="s">
        <v>172</v>
      </c>
      <c r="C48" s="17" t="s">
        <v>217</v>
      </c>
      <c r="D48" s="17"/>
      <c r="F48">
        <f>Guide!E75</f>
        <v>-110</v>
      </c>
    </row>
    <row r="49" spans="2:6">
      <c r="B49" s="15" t="s">
        <v>88</v>
      </c>
      <c r="C49" s="15" t="s">
        <v>20</v>
      </c>
      <c r="D49" s="15"/>
      <c r="E49" s="12"/>
      <c r="F49" s="15">
        <f>SUM(F46:F48)</f>
        <v>1053.1096357599999</v>
      </c>
    </row>
    <row r="50" spans="2:6" ht="12.75" customHeight="1"/>
    <row r="51" spans="2:6">
      <c r="B51" s="185" t="s">
        <v>173</v>
      </c>
      <c r="C51" s="185"/>
      <c r="D51" s="185"/>
      <c r="E51" s="185"/>
      <c r="F51" s="185"/>
    </row>
    <row r="52" spans="2:6">
      <c r="B52" s="185"/>
      <c r="C52" s="185"/>
      <c r="D52" s="185"/>
      <c r="E52" s="185"/>
      <c r="F52" s="185"/>
    </row>
    <row r="53" spans="2:6" ht="12.75" customHeight="1"/>
    <row r="54" spans="2:6">
      <c r="B54" s="16" t="s">
        <v>102</v>
      </c>
    </row>
    <row r="55" spans="2:6">
      <c r="B55" t="s">
        <v>307</v>
      </c>
      <c r="F55">
        <f>Guide!E76*Guide!E68%</f>
        <v>771.65689999999995</v>
      </c>
    </row>
    <row r="56" spans="2:6">
      <c r="B56" t="s">
        <v>239</v>
      </c>
      <c r="F56">
        <v>0</v>
      </c>
    </row>
    <row r="57" spans="2:6">
      <c r="B57" t="s">
        <v>89</v>
      </c>
      <c r="C57" s="17" t="s">
        <v>90</v>
      </c>
      <c r="F57">
        <v>0</v>
      </c>
    </row>
    <row r="58" spans="2:6">
      <c r="B58" t="s">
        <v>91</v>
      </c>
      <c r="C58" s="17" t="s">
        <v>259</v>
      </c>
      <c r="F58">
        <v>0</v>
      </c>
    </row>
    <row r="59" spans="2:6">
      <c r="B59" s="15" t="s">
        <v>92</v>
      </c>
      <c r="C59" s="15" t="s">
        <v>20</v>
      </c>
      <c r="D59" s="15"/>
      <c r="E59" s="12"/>
      <c r="F59" s="15">
        <f>SUM(F55:F58)</f>
        <v>771.65689999999995</v>
      </c>
    </row>
    <row r="60" spans="2:6" ht="12.75" customHeight="1"/>
    <row r="61" spans="2:6" ht="12.75" customHeight="1">
      <c r="B61" s="184" t="s">
        <v>290</v>
      </c>
      <c r="C61" s="184"/>
      <c r="D61" s="184"/>
      <c r="E61" s="184"/>
      <c r="F61" s="184"/>
    </row>
    <row r="62" spans="2:6" ht="12.75" customHeight="1"/>
    <row r="63" spans="2:6">
      <c r="B63" s="16" t="s">
        <v>210</v>
      </c>
    </row>
    <row r="64" spans="2:6" ht="12.75" customHeight="1"/>
    <row r="65" spans="2:6">
      <c r="B65" t="s">
        <v>117</v>
      </c>
      <c r="F65">
        <f>(Guide!E146)</f>
        <v>7114.54</v>
      </c>
    </row>
    <row r="66" spans="2:6">
      <c r="B66" t="s">
        <v>113</v>
      </c>
      <c r="F66" s="13">
        <f>Guide!E184</f>
        <v>3.5000000000000003E-2</v>
      </c>
    </row>
    <row r="67" spans="2:6">
      <c r="B67" s="15" t="s">
        <v>114</v>
      </c>
      <c r="C67" s="15" t="s">
        <v>20</v>
      </c>
      <c r="D67" s="15"/>
      <c r="E67" s="15"/>
      <c r="F67" s="21">
        <f>F65*F66</f>
        <v>249.00890000000001</v>
      </c>
    </row>
    <row r="68" spans="2:6" ht="12.75" customHeight="1"/>
    <row r="69" spans="2:6">
      <c r="B69" t="s">
        <v>174</v>
      </c>
      <c r="F69">
        <f>Guide!E187</f>
        <v>20</v>
      </c>
    </row>
    <row r="70" spans="2:6">
      <c r="B70" t="s">
        <v>268</v>
      </c>
      <c r="F70">
        <f>Guide!E189</f>
        <v>14</v>
      </c>
    </row>
    <row r="71" spans="2:6">
      <c r="B71" s="15" t="s">
        <v>115</v>
      </c>
      <c r="C71" s="15" t="s">
        <v>20</v>
      </c>
      <c r="D71" s="15"/>
      <c r="E71" s="15"/>
      <c r="F71" s="21">
        <f>F69+F70</f>
        <v>34</v>
      </c>
    </row>
    <row r="72" spans="2:6" ht="12.75" customHeight="1"/>
    <row r="73" spans="2:6">
      <c r="B73" s="15" t="s">
        <v>116</v>
      </c>
      <c r="C73" s="15" t="s">
        <v>51</v>
      </c>
      <c r="D73" s="15"/>
      <c r="E73" s="15"/>
      <c r="F73" s="15">
        <f>+F71+F67</f>
        <v>283.00890000000004</v>
      </c>
    </row>
    <row r="74" spans="2:6" ht="12.75" customHeight="1"/>
    <row r="75" spans="2:6">
      <c r="B75" s="184" t="s">
        <v>291</v>
      </c>
      <c r="C75" s="184"/>
      <c r="D75" s="184"/>
      <c r="E75" s="184"/>
      <c r="F75" s="184"/>
    </row>
    <row r="76" spans="2:6" ht="12.75" customHeight="1"/>
    <row r="77" spans="2:6">
      <c r="B77" s="16" t="s">
        <v>211</v>
      </c>
    </row>
    <row r="78" spans="2:6" ht="12.75" customHeight="1"/>
    <row r="79" spans="2:6">
      <c r="B79" t="s">
        <v>162</v>
      </c>
      <c r="F79">
        <f>Guide!E116</f>
        <v>75</v>
      </c>
    </row>
    <row r="80" spans="2:6">
      <c r="B80" t="s">
        <v>80</v>
      </c>
      <c r="F80">
        <f>-(1-Guide!E113%)*Indicative.model!F79</f>
        <v>-45</v>
      </c>
    </row>
    <row r="81" spans="1:6">
      <c r="B81" s="15" t="s">
        <v>163</v>
      </c>
      <c r="C81" s="15" t="s">
        <v>51</v>
      </c>
      <c r="D81" s="15"/>
      <c r="E81" s="15"/>
      <c r="F81" s="15">
        <f>SUM(F79:F80)</f>
        <v>30</v>
      </c>
    </row>
    <row r="82" spans="1:6">
      <c r="B82" t="s">
        <v>164</v>
      </c>
      <c r="F82">
        <f>-(Guide!E113-Guide!E114)%*Indicative.model!F79</f>
        <v>-15</v>
      </c>
    </row>
    <row r="83" spans="1:6">
      <c r="B83" s="15" t="s">
        <v>12</v>
      </c>
      <c r="C83" s="15" t="s">
        <v>51</v>
      </c>
      <c r="D83" s="15"/>
      <c r="E83" s="15"/>
      <c r="F83" s="15">
        <f>SUM(F81:F82)</f>
        <v>15</v>
      </c>
    </row>
    <row r="84" spans="1:6" ht="12.75" customHeight="1">
      <c r="F84" s="113"/>
    </row>
    <row r="85" spans="1:6">
      <c r="B85" s="185" t="s">
        <v>166</v>
      </c>
      <c r="C85" s="185"/>
      <c r="D85" s="185"/>
      <c r="E85" s="185"/>
      <c r="F85" s="185"/>
    </row>
    <row r="86" spans="1:6" ht="12.75" customHeight="1"/>
    <row r="87" spans="1:6">
      <c r="A87" s="9" t="s">
        <v>97</v>
      </c>
      <c r="B87" s="3"/>
      <c r="C87" s="3"/>
      <c r="D87" s="3"/>
      <c r="E87" s="7"/>
      <c r="F87" s="5"/>
    </row>
    <row r="88" spans="1:6" ht="12.75" customHeight="1"/>
    <row r="89" spans="1:6">
      <c r="B89" s="15" t="s">
        <v>103</v>
      </c>
      <c r="C89" s="15" t="s">
        <v>111</v>
      </c>
      <c r="D89" s="12"/>
      <c r="E89" s="27" t="s">
        <v>51</v>
      </c>
      <c r="F89" s="26" t="s">
        <v>207</v>
      </c>
    </row>
    <row r="90" spans="1:6">
      <c r="F90" s="24"/>
    </row>
    <row r="91" spans="1:6">
      <c r="B91" t="s">
        <v>104</v>
      </c>
      <c r="C91" s="17" t="s">
        <v>131</v>
      </c>
      <c r="D91" s="17"/>
      <c r="F91">
        <f>F142</f>
        <v>4792.7871718736415</v>
      </c>
    </row>
    <row r="92" spans="1:6">
      <c r="B92" t="s">
        <v>270</v>
      </c>
      <c r="C92" s="17" t="s">
        <v>271</v>
      </c>
      <c r="D92" s="17"/>
      <c r="F92">
        <f>Guide!E203-Guide!E202</f>
        <v>210.33099999999996</v>
      </c>
    </row>
    <row r="93" spans="1:6">
      <c r="B93" t="s">
        <v>281</v>
      </c>
      <c r="C93" s="17" t="s">
        <v>271</v>
      </c>
      <c r="D93" s="17"/>
      <c r="F93">
        <f>Guide!E206-Guide!E205</f>
        <v>3936.7179999999998</v>
      </c>
    </row>
    <row r="94" spans="1:6">
      <c r="B94" t="s">
        <v>105</v>
      </c>
      <c r="C94" s="17" t="s">
        <v>131</v>
      </c>
      <c r="D94" s="17"/>
      <c r="F94">
        <f>F149-F102</f>
        <v>2712.2779999999998</v>
      </c>
    </row>
    <row r="95" spans="1:6">
      <c r="B95" t="s">
        <v>129</v>
      </c>
      <c r="C95" s="17" t="s">
        <v>134</v>
      </c>
      <c r="D95" s="17"/>
      <c r="F95" s="150">
        <v>200</v>
      </c>
    </row>
    <row r="96" spans="1:6">
      <c r="B96" t="s">
        <v>106</v>
      </c>
      <c r="C96" s="17" t="s">
        <v>131</v>
      </c>
      <c r="D96" s="17"/>
      <c r="F96">
        <f>$F$176</f>
        <v>372.78999999999996</v>
      </c>
    </row>
    <row r="97" spans="2:6">
      <c r="C97" s="17"/>
      <c r="D97" s="17"/>
      <c r="F97" s="151"/>
    </row>
    <row r="98" spans="2:6">
      <c r="B98" s="15" t="s">
        <v>107</v>
      </c>
      <c r="C98" s="12"/>
      <c r="D98" s="22"/>
      <c r="E98" s="12"/>
      <c r="F98" s="15">
        <f>SUM(F91:F97)</f>
        <v>12224.904171873641</v>
      </c>
    </row>
    <row r="99" spans="2:6">
      <c r="D99" s="17"/>
    </row>
    <row r="100" spans="2:6">
      <c r="B100" t="s">
        <v>130</v>
      </c>
      <c r="C100" s="17" t="s">
        <v>132</v>
      </c>
      <c r="D100" s="17"/>
      <c r="F100" s="150">
        <v>50</v>
      </c>
    </row>
    <row r="101" spans="2:6">
      <c r="B101" t="s">
        <v>108</v>
      </c>
      <c r="C101" s="17" t="s">
        <v>131</v>
      </c>
      <c r="D101" s="17"/>
      <c r="F101">
        <f>F158</f>
        <v>875.10953524383547</v>
      </c>
    </row>
    <row r="102" spans="2:6">
      <c r="B102" t="s">
        <v>105</v>
      </c>
      <c r="C102" s="17" t="s">
        <v>132</v>
      </c>
      <c r="D102" s="17"/>
      <c r="F102" s="150">
        <v>300</v>
      </c>
    </row>
    <row r="103" spans="2:6">
      <c r="B103" t="s">
        <v>69</v>
      </c>
      <c r="C103" s="17" t="s">
        <v>133</v>
      </c>
      <c r="D103" s="17"/>
      <c r="F103" s="150">
        <v>0</v>
      </c>
    </row>
    <row r="104" spans="2:6">
      <c r="B104" t="s">
        <v>73</v>
      </c>
      <c r="C104" s="17"/>
      <c r="D104" s="17"/>
      <c r="F104">
        <f>-SUM(F98:F103,F106)+F131</f>
        <v>1195.9862295259427</v>
      </c>
    </row>
    <row r="105" spans="2:6">
      <c r="B105" s="15" t="s">
        <v>109</v>
      </c>
      <c r="C105" s="15"/>
      <c r="D105" s="23"/>
      <c r="E105" s="11"/>
      <c r="F105" s="15">
        <f>SUM(F100:F104)</f>
        <v>2421.0957647697783</v>
      </c>
    </row>
    <row r="106" spans="2:6">
      <c r="B106" t="s">
        <v>289</v>
      </c>
      <c r="C106" s="17" t="s">
        <v>132</v>
      </c>
      <c r="D106" s="164"/>
      <c r="E106" s="11"/>
      <c r="F106">
        <f>-F174</f>
        <v>0</v>
      </c>
    </row>
    <row r="107" spans="2:6">
      <c r="D107" s="165"/>
      <c r="E107" s="166"/>
    </row>
    <row r="108" spans="2:6">
      <c r="B108" s="15" t="s">
        <v>135</v>
      </c>
      <c r="C108" s="15"/>
      <c r="D108" s="23"/>
      <c r="E108" s="12"/>
      <c r="F108" s="15">
        <f>+F105+F98+F106</f>
        <v>14645.999936643419</v>
      </c>
    </row>
    <row r="109" spans="2:6">
      <c r="D109" s="17"/>
    </row>
    <row r="110" spans="2:6">
      <c r="B110" t="s">
        <v>136</v>
      </c>
      <c r="C110" s="17" t="s">
        <v>132</v>
      </c>
      <c r="D110" s="17"/>
      <c r="F110" s="150">
        <f>2775.874</f>
        <v>2775.8739999999998</v>
      </c>
    </row>
    <row r="111" spans="2:6">
      <c r="B111" t="s">
        <v>167</v>
      </c>
      <c r="C111" s="17" t="s">
        <v>132</v>
      </c>
      <c r="D111" s="17"/>
      <c r="F111" s="150">
        <v>2970</v>
      </c>
    </row>
    <row r="112" spans="2:6" hidden="1">
      <c r="C112" s="17"/>
      <c r="D112" s="17"/>
    </row>
    <row r="113" spans="2:6" hidden="1">
      <c r="C113" s="17"/>
      <c r="D113" s="17"/>
    </row>
    <row r="114" spans="2:6">
      <c r="B114" t="s">
        <v>138</v>
      </c>
      <c r="C114" s="17" t="s">
        <v>132</v>
      </c>
      <c r="D114" s="17"/>
      <c r="F114" s="150">
        <v>700</v>
      </c>
    </row>
    <row r="115" spans="2:6">
      <c r="B115" s="15" t="s">
        <v>137</v>
      </c>
      <c r="C115" s="15"/>
      <c r="D115" s="23"/>
      <c r="E115" s="12"/>
      <c r="F115" s="15">
        <f>SUM(F110:F114)</f>
        <v>6445.8739999999998</v>
      </c>
    </row>
    <row r="116" spans="2:6">
      <c r="D116" s="17"/>
    </row>
    <row r="117" spans="2:6">
      <c r="B117" t="s">
        <v>139</v>
      </c>
      <c r="C117" s="17" t="s">
        <v>132</v>
      </c>
      <c r="D117" s="17"/>
      <c r="F117" s="150">
        <v>3450</v>
      </c>
    </row>
    <row r="118" spans="2:6">
      <c r="B118" t="s">
        <v>280</v>
      </c>
      <c r="C118" s="17" t="s">
        <v>132</v>
      </c>
      <c r="D118" s="17"/>
      <c r="F118" s="150">
        <v>3650</v>
      </c>
    </row>
    <row r="119" spans="2:6">
      <c r="B119" t="s">
        <v>272</v>
      </c>
      <c r="C119" s="17" t="s">
        <v>132</v>
      </c>
      <c r="D119" s="17"/>
      <c r="F119" s="150">
        <v>200</v>
      </c>
    </row>
    <row r="120" spans="2:6">
      <c r="B120" t="s">
        <v>140</v>
      </c>
      <c r="C120" s="17" t="s">
        <v>132</v>
      </c>
      <c r="D120" s="17"/>
      <c r="F120" s="150">
        <v>40</v>
      </c>
    </row>
    <row r="121" spans="2:6">
      <c r="B121" t="s">
        <v>143</v>
      </c>
      <c r="C121" s="17" t="s">
        <v>132</v>
      </c>
      <c r="D121" s="17"/>
      <c r="F121" s="150">
        <v>250</v>
      </c>
    </row>
    <row r="122" spans="2:6">
      <c r="B122" s="15" t="s">
        <v>142</v>
      </c>
      <c r="C122" s="15"/>
      <c r="D122" s="23"/>
      <c r="E122" s="12"/>
      <c r="F122" s="15">
        <f>SUM(F117:F121)</f>
        <v>7590</v>
      </c>
    </row>
    <row r="123" spans="2:6" ht="12.75" customHeight="1"/>
    <row r="124" spans="2:6" ht="12.75" customHeight="1">
      <c r="B124" t="s">
        <v>139</v>
      </c>
      <c r="C124" s="17" t="s">
        <v>132</v>
      </c>
      <c r="F124" s="150">
        <v>35</v>
      </c>
    </row>
    <row r="125" spans="2:6" ht="12.75" hidden="1" customHeight="1">
      <c r="C125" s="17"/>
    </row>
    <row r="126" spans="2:6" ht="12.75" hidden="1" customHeight="1">
      <c r="C126" s="17"/>
    </row>
    <row r="127" spans="2:6" ht="12.75" customHeight="1">
      <c r="B127" t="s">
        <v>272</v>
      </c>
      <c r="C127" s="17" t="s">
        <v>132</v>
      </c>
      <c r="D127" s="17"/>
      <c r="F127" s="150">
        <v>45</v>
      </c>
    </row>
    <row r="128" spans="2:6">
      <c r="B128" t="s">
        <v>144</v>
      </c>
      <c r="C128" s="17" t="s">
        <v>131</v>
      </c>
      <c r="F128">
        <f>F167</f>
        <v>530.12593664341921</v>
      </c>
    </row>
    <row r="129" spans="2:6">
      <c r="B129" s="15" t="s">
        <v>145</v>
      </c>
      <c r="C129" s="15"/>
      <c r="D129" s="23"/>
      <c r="E129" s="11"/>
      <c r="F129" s="15">
        <f>SUM(F124:F128)</f>
        <v>610.12593664341921</v>
      </c>
    </row>
    <row r="130" spans="2:6">
      <c r="E130" s="11"/>
    </row>
    <row r="131" spans="2:6">
      <c r="B131" s="15" t="s">
        <v>146</v>
      </c>
      <c r="C131" s="15"/>
      <c r="D131" s="23"/>
      <c r="E131" s="12"/>
      <c r="F131" s="15">
        <f>+F129+F122+F115</f>
        <v>14645.999936643419</v>
      </c>
    </row>
    <row r="132" spans="2:6" ht="12.75" customHeight="1"/>
    <row r="133" spans="2:6">
      <c r="B133" s="25"/>
    </row>
    <row r="134" spans="2:6" ht="12.75" customHeight="1"/>
    <row r="135" spans="2:6">
      <c r="B135" s="15" t="s">
        <v>118</v>
      </c>
      <c r="C135" s="12"/>
      <c r="D135" s="12"/>
      <c r="E135" s="12"/>
      <c r="F135" s="12"/>
    </row>
    <row r="136" spans="2:6" ht="12.75" customHeight="1"/>
    <row r="137" spans="2:6">
      <c r="B137" s="16" t="s">
        <v>119</v>
      </c>
    </row>
    <row r="138" spans="2:6">
      <c r="B138" t="s">
        <v>120</v>
      </c>
      <c r="F138" s="150">
        <v>4500</v>
      </c>
    </row>
    <row r="139" spans="2:6">
      <c r="B139" t="s">
        <v>121</v>
      </c>
      <c r="F139" s="163">
        <f>-Guide!E196</f>
        <v>-188.37899999999999</v>
      </c>
    </row>
    <row r="140" spans="2:6">
      <c r="B140" t="s">
        <v>122</v>
      </c>
      <c r="C140" s="17" t="s">
        <v>309</v>
      </c>
      <c r="E140" s="113"/>
      <c r="F140" s="150">
        <v>500</v>
      </c>
    </row>
    <row r="141" spans="2:6">
      <c r="B141" t="s">
        <v>123</v>
      </c>
      <c r="C141" s="17" t="s">
        <v>153</v>
      </c>
      <c r="F141">
        <f>-F140*Guide!E199</f>
        <v>-18.83382812635908</v>
      </c>
    </row>
    <row r="142" spans="2:6">
      <c r="B142" s="15" t="s">
        <v>124</v>
      </c>
      <c r="C142" s="15"/>
      <c r="D142" s="15"/>
      <c r="E142" s="15"/>
      <c r="F142" s="15">
        <f>SUM(F138:F141)</f>
        <v>4792.7871718736415</v>
      </c>
    </row>
    <row r="143" spans="2:6">
      <c r="B143" s="16"/>
    </row>
    <row r="144" spans="2:6">
      <c r="B144" s="16" t="s">
        <v>168</v>
      </c>
    </row>
    <row r="145" spans="2:6">
      <c r="B145" t="s">
        <v>120</v>
      </c>
      <c r="F145">
        <f>Guide!E212-F146</f>
        <v>3112.2779999999998</v>
      </c>
    </row>
    <row r="146" spans="2:6">
      <c r="B146" t="s">
        <v>169</v>
      </c>
      <c r="C146" s="17" t="s">
        <v>284</v>
      </c>
      <c r="F146">
        <f>Guide!E211</f>
        <v>-100</v>
      </c>
    </row>
    <row r="147" spans="2:6">
      <c r="B147" t="s">
        <v>122</v>
      </c>
      <c r="C147" s="17" t="s">
        <v>285</v>
      </c>
      <c r="F147">
        <v>0</v>
      </c>
    </row>
    <row r="148" spans="2:6">
      <c r="B148" t="s">
        <v>170</v>
      </c>
      <c r="C148" s="17"/>
      <c r="F148">
        <v>0</v>
      </c>
    </row>
    <row r="149" spans="2:6">
      <c r="B149" s="15" t="s">
        <v>125</v>
      </c>
      <c r="C149" s="15"/>
      <c r="D149" s="15"/>
      <c r="E149" s="15"/>
      <c r="F149" s="15">
        <f>SUM(F145:F148)</f>
        <v>3012.2779999999998</v>
      </c>
    </row>
    <row r="150" spans="2:6">
      <c r="B150" s="16"/>
    </row>
    <row r="151" spans="2:6">
      <c r="B151" s="16" t="s">
        <v>147</v>
      </c>
    </row>
    <row r="152" spans="2:6">
      <c r="B152" s="16" t="s">
        <v>171</v>
      </c>
      <c r="C152" s="16" t="s">
        <v>51</v>
      </c>
      <c r="D152" s="17" t="s">
        <v>133</v>
      </c>
      <c r="E152" s="16"/>
      <c r="F152" s="162">
        <v>80</v>
      </c>
    </row>
    <row r="153" spans="2:6">
      <c r="B153" s="16"/>
      <c r="C153" s="16"/>
      <c r="D153" s="16"/>
      <c r="E153" s="16"/>
      <c r="F153" s="16"/>
    </row>
    <row r="154" spans="2:6">
      <c r="B154" t="s">
        <v>126</v>
      </c>
      <c r="C154" t="s">
        <v>51</v>
      </c>
      <c r="F154">
        <f>F18-F48</f>
        <v>1934.7665357599999</v>
      </c>
    </row>
    <row r="155" spans="2:6">
      <c r="B155" t="s">
        <v>21</v>
      </c>
      <c r="C155" t="s">
        <v>22</v>
      </c>
      <c r="D155" s="17" t="s">
        <v>152</v>
      </c>
      <c r="F155">
        <f>Guide!$E$232</f>
        <v>150</v>
      </c>
    </row>
    <row r="156" spans="2:6">
      <c r="B156" s="16" t="s">
        <v>127</v>
      </c>
      <c r="C156" s="16" t="s">
        <v>51</v>
      </c>
      <c r="D156" s="16"/>
      <c r="E156" s="16"/>
      <c r="F156" s="16">
        <f>F154*F155/365</f>
        <v>795.10953524383547</v>
      </c>
    </row>
    <row r="157" spans="2:6">
      <c r="B157" s="16"/>
      <c r="C157" s="16"/>
      <c r="D157" s="16"/>
      <c r="E157" s="16"/>
      <c r="F157" s="16"/>
    </row>
    <row r="158" spans="2:6">
      <c r="B158" s="15" t="s">
        <v>128</v>
      </c>
      <c r="C158" s="15"/>
      <c r="D158" s="15"/>
      <c r="E158" s="15"/>
      <c r="F158" s="15">
        <f>F156+F152</f>
        <v>875.10953524383547</v>
      </c>
    </row>
    <row r="159" spans="2:6" ht="12.75" customHeight="1"/>
    <row r="160" spans="2:6">
      <c r="B160" s="16" t="s">
        <v>148</v>
      </c>
      <c r="C160" s="16" t="s">
        <v>51</v>
      </c>
      <c r="D160" s="17" t="s">
        <v>133</v>
      </c>
      <c r="E160" s="16"/>
      <c r="F160" s="152">
        <v>100</v>
      </c>
    </row>
    <row r="161" spans="2:6">
      <c r="B161" s="16" t="s">
        <v>150</v>
      </c>
      <c r="C161" s="16" t="s">
        <v>51</v>
      </c>
      <c r="D161" s="17" t="s">
        <v>306</v>
      </c>
      <c r="E161" s="16"/>
      <c r="F161" s="152">
        <v>120</v>
      </c>
    </row>
    <row r="162" spans="2:6">
      <c r="B162" s="16"/>
      <c r="C162" s="16"/>
      <c r="D162" s="16"/>
      <c r="E162" s="16"/>
      <c r="F162" s="16"/>
    </row>
    <row r="163" spans="2:6">
      <c r="B163" t="s">
        <v>151</v>
      </c>
      <c r="C163" t="s">
        <v>51</v>
      </c>
      <c r="F163" s="16">
        <f>-(F20+F24)</f>
        <v>1029.0542443168001</v>
      </c>
    </row>
    <row r="164" spans="2:6">
      <c r="B164" t="s">
        <v>23</v>
      </c>
      <c r="C164" t="s">
        <v>22</v>
      </c>
      <c r="D164" s="17" t="s">
        <v>152</v>
      </c>
      <c r="F164">
        <f>Guide!$E$233</f>
        <v>110</v>
      </c>
    </row>
    <row r="165" spans="2:6">
      <c r="B165" s="16" t="s">
        <v>149</v>
      </c>
      <c r="C165" s="16" t="s">
        <v>51</v>
      </c>
      <c r="D165" s="16"/>
      <c r="E165" s="16"/>
      <c r="F165" s="16">
        <f>F163*F164/365</f>
        <v>310.12593664341921</v>
      </c>
    </row>
    <row r="166" spans="2:6">
      <c r="B166" s="16"/>
      <c r="C166" s="16"/>
      <c r="D166" s="16"/>
      <c r="E166" s="16"/>
      <c r="F166" s="16"/>
    </row>
    <row r="167" spans="2:6">
      <c r="B167" s="15" t="s">
        <v>154</v>
      </c>
      <c r="C167" s="15"/>
      <c r="D167" s="15"/>
      <c r="E167" s="15"/>
      <c r="F167" s="15">
        <f>F165+F160+F161</f>
        <v>530.12593664341921</v>
      </c>
    </row>
    <row r="168" spans="2:6" ht="12.75" customHeight="1"/>
    <row r="169" spans="2:6">
      <c r="B169" s="16" t="s">
        <v>155</v>
      </c>
    </row>
    <row r="170" spans="2:6">
      <c r="B170" t="s">
        <v>120</v>
      </c>
      <c r="F170" s="150">
        <f>339.063+19.195</f>
        <v>358.25799999999998</v>
      </c>
    </row>
    <row r="171" spans="2:6">
      <c r="B171" t="s">
        <v>156</v>
      </c>
      <c r="D171" s="17" t="s">
        <v>158</v>
      </c>
      <c r="F171" s="150">
        <f>(21026+24732+14647)/1000</f>
        <v>60.405000000000001</v>
      </c>
    </row>
    <row r="172" spans="2:6">
      <c r="B172" t="s">
        <v>157</v>
      </c>
      <c r="D172" s="17" t="s">
        <v>308</v>
      </c>
      <c r="F172" s="150">
        <f>-8.835-5.751</f>
        <v>-14.586000000000002</v>
      </c>
    </row>
    <row r="173" spans="2:6">
      <c r="B173" t="s">
        <v>241</v>
      </c>
      <c r="D173" s="17" t="s">
        <v>242</v>
      </c>
      <c r="F173" s="150">
        <f>(10715-7871+20385-4929-24732)/1000</f>
        <v>-6.4320000000000004</v>
      </c>
    </row>
    <row r="174" spans="2:6">
      <c r="B174" t="s">
        <v>287</v>
      </c>
      <c r="D174" s="17"/>
      <c r="F174" s="150"/>
    </row>
    <row r="175" spans="2:6">
      <c r="B175" t="s">
        <v>288</v>
      </c>
      <c r="D175" s="17"/>
      <c r="F175" s="150">
        <v>-24.855</v>
      </c>
    </row>
    <row r="176" spans="2:6">
      <c r="B176" s="15" t="s">
        <v>159</v>
      </c>
      <c r="C176" s="15"/>
      <c r="D176" s="15"/>
      <c r="E176" s="15"/>
      <c r="F176" s="15">
        <f>SUM(F170:F175)</f>
        <v>372.78999999999996</v>
      </c>
    </row>
    <row r="177" spans="6:6" ht="12.75" customHeight="1">
      <c r="F177" s="169"/>
    </row>
    <row r="178" spans="6:6" ht="12.75" customHeight="1"/>
  </sheetData>
  <mergeCells count="8">
    <mergeCell ref="B75:F75"/>
    <mergeCell ref="B85:F85"/>
    <mergeCell ref="B2:F2"/>
    <mergeCell ref="B3:F3"/>
    <mergeCell ref="B4:F4"/>
    <mergeCell ref="C8:F8"/>
    <mergeCell ref="B51:F52"/>
    <mergeCell ref="B61:F61"/>
  </mergeCells>
  <pageMargins left="0.7" right="0.7" top="0.75" bottom="0.75" header="0.3" footer="0.3"/>
  <pageSetup paperSize="9" scale="58" fitToHeight="0" orientation="portrait" r:id="rId1"/>
  <rowBreaks count="2" manualBreakCount="2">
    <brk id="61" max="16383" man="1"/>
    <brk id="150" max="16383" man="1"/>
  </rowBreaks>
  <ignoredErrors>
    <ignoredError sqref="F82"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877A6CDC282E45916DC89490475063" ma:contentTypeVersion="12" ma:contentTypeDescription="Create a new document." ma:contentTypeScope="" ma:versionID="7c30128056025ccfac436d65dafa25c5">
  <xsd:schema xmlns:xsd="http://www.w3.org/2001/XMLSchema" xmlns:xs="http://www.w3.org/2001/XMLSchema" xmlns:p="http://schemas.microsoft.com/office/2006/metadata/properties" xmlns:ns2="838afb97-f7f9-44f5-9ee6-9dcf1d7ae8ae" xmlns:ns3="f878f3b1-6b55-4f0d-af1a-d5c801308da0" targetNamespace="http://schemas.microsoft.com/office/2006/metadata/properties" ma:root="true" ma:fieldsID="21861cbb9d2941eccbb0001cbe0095a0" ns2:_="" ns3:_="">
    <xsd:import namespace="838afb97-f7f9-44f5-9ee6-9dcf1d7ae8ae"/>
    <xsd:import namespace="f878f3b1-6b55-4f0d-af1a-d5c801308d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afb97-f7f9-44f5-9ee6-9dcf1d7ae8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78f3b1-6b55-4f0d-af1a-d5c801308da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9643A-344F-4B73-963A-9D86D44F925E}">
  <ds:schemaRefs>
    <ds:schemaRef ds:uri="0c72937f-a043-47b1-9567-3db0b0652d98"/>
    <ds:schemaRef ds:uri="http://schemas.openxmlformats.org/package/2006/metadata/core-properties"/>
    <ds:schemaRef ds:uri="http://schemas.microsoft.com/office/2006/documentManagement/types"/>
    <ds:schemaRef ds:uri="http://purl.org/dc/terms/"/>
    <ds:schemaRef ds:uri="http://purl.org/dc/dcmitype/"/>
    <ds:schemaRef ds:uri="http://schemas.microsoft.com/office/2006/metadata/properties"/>
    <ds:schemaRef ds:uri="http://purl.org/dc/elements/1.1/"/>
    <ds:schemaRef ds:uri="http://schemas.microsoft.com/office/infopath/2007/PartnerControls"/>
    <ds:schemaRef ds:uri="2d70c78c-022f-4de6-8f47-1c4299382dea"/>
    <ds:schemaRef ds:uri="http://www.w3.org/XML/1998/namespace"/>
  </ds:schemaRefs>
</ds:datastoreItem>
</file>

<file path=customXml/itemProps2.xml><?xml version="1.0" encoding="utf-8"?>
<ds:datastoreItem xmlns:ds="http://schemas.openxmlformats.org/officeDocument/2006/customXml" ds:itemID="{58E36410-6CC4-40B2-AEDC-C99F03AD0C76}">
  <ds:schemaRefs>
    <ds:schemaRef ds:uri="http://schemas.microsoft.com/sharepoint/v3/contenttype/forms"/>
  </ds:schemaRefs>
</ds:datastoreItem>
</file>

<file path=customXml/itemProps3.xml><?xml version="1.0" encoding="utf-8"?>
<ds:datastoreItem xmlns:ds="http://schemas.openxmlformats.org/officeDocument/2006/customXml" ds:itemID="{C1DEDEC0-AE6F-4CC3-9DFE-E9BA87EB5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afb97-f7f9-44f5-9ee6-9dcf1d7ae8ae"/>
    <ds:schemaRef ds:uri="f878f3b1-6b55-4f0d-af1a-d5c801308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Guide</vt:lpstr>
      <vt:lpstr>Indicative.model</vt:lpstr>
      <vt:lpstr>Guide!Print_Area</vt:lpstr>
    </vt:vector>
  </TitlesOfParts>
  <Company>Tabreed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Faisal Tahir Bhatti</dc:creator>
  <cp:lastModifiedBy>Bijay | Churchgate Partners</cp:lastModifiedBy>
  <cp:lastPrinted>2016-08-14T06:10:44Z</cp:lastPrinted>
  <dcterms:created xsi:type="dcterms:W3CDTF">2015-05-06T04:59:27Z</dcterms:created>
  <dcterms:modified xsi:type="dcterms:W3CDTF">2022-03-02T10:37:15Z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0x010100EC877A6CDC282E45916DC89490475063</vt:lpwstr>
  </property>
</Properties>
</file>